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85" windowWidth="24540" windowHeight="11850"/>
  </bookViews>
  <sheets>
    <sheet name="Sheet1" sheetId="1" r:id="rId1"/>
  </sheets>
  <definedNames>
    <definedName name="_xlnm._FilterDatabase" localSheetId="0" hidden="1">Sheet1!$B$1:$AO$1718</definedName>
  </definedNames>
  <calcPr calcId="145621"/>
</workbook>
</file>

<file path=xl/calcChain.xml><?xml version="1.0" encoding="utf-8"?>
<calcChain xmlns="http://schemas.openxmlformats.org/spreadsheetml/2006/main">
  <c r="M3" i="1" l="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1716" i="1"/>
  <c r="M1717" i="1"/>
  <c r="M1718" i="1"/>
  <c r="M2" i="1"/>
  <c r="AC29" i="1"/>
  <c r="AC36" i="1"/>
  <c r="AC49" i="1"/>
  <c r="AC51" i="1"/>
  <c r="AC52" i="1"/>
  <c r="AC59" i="1"/>
  <c r="AC62" i="1"/>
  <c r="AC64" i="1"/>
  <c r="AC65" i="1"/>
  <c r="AC71" i="1"/>
  <c r="AC73" i="1"/>
  <c r="AC74" i="1"/>
  <c r="AC79" i="1"/>
  <c r="AC81" i="1"/>
  <c r="AC82" i="1"/>
  <c r="AC85" i="1"/>
  <c r="AC88" i="1"/>
  <c r="AC98" i="1"/>
  <c r="AC101" i="1"/>
  <c r="AC103" i="1"/>
  <c r="AC108" i="1"/>
  <c r="AC113" i="1"/>
  <c r="AC116" i="1"/>
  <c r="AC120" i="1"/>
  <c r="AC123" i="1"/>
  <c r="AC126" i="1"/>
  <c r="AC269" i="1"/>
  <c r="AC317" i="1"/>
  <c r="AC319" i="1"/>
  <c r="AC335" i="1"/>
  <c r="AC336" i="1"/>
  <c r="AC361" i="1"/>
  <c r="AC374" i="1"/>
  <c r="AC390" i="1"/>
  <c r="AC396" i="1"/>
  <c r="AC397" i="1"/>
  <c r="AC416" i="1"/>
  <c r="AC417" i="1"/>
  <c r="AC431" i="1"/>
  <c r="AC432" i="1"/>
  <c r="AC459" i="1"/>
  <c r="AC529" i="1"/>
  <c r="AC616" i="1"/>
  <c r="AC628" i="1"/>
  <c r="AC639" i="1"/>
  <c r="AC657" i="1"/>
  <c r="AC668" i="1"/>
  <c r="AC675" i="1"/>
  <c r="AC714" i="1"/>
  <c r="AC715" i="1"/>
  <c r="AC716" i="1"/>
  <c r="AC738" i="1"/>
  <c r="AC741" i="1"/>
  <c r="AC742" i="1"/>
  <c r="AC746" i="1"/>
  <c r="AC748" i="1"/>
  <c r="AC749" i="1"/>
  <c r="AC750" i="1"/>
  <c r="AC751" i="1"/>
  <c r="AC757" i="1"/>
  <c r="AC759" i="1"/>
  <c r="AC783" i="1"/>
  <c r="AC784" i="1"/>
  <c r="AC785" i="1"/>
  <c r="AC786" i="1"/>
  <c r="AC790" i="1"/>
  <c r="AC805" i="1"/>
  <c r="AC806" i="1"/>
  <c r="AC822" i="1"/>
  <c r="AC832" i="1"/>
  <c r="AC835" i="1"/>
  <c r="AC869" i="1"/>
  <c r="AC905" i="1"/>
  <c r="AC906" i="1"/>
  <c r="AC925" i="1"/>
  <c r="AC949" i="1"/>
  <c r="AC950" i="1"/>
  <c r="AC951" i="1"/>
  <c r="AC952" i="1"/>
  <c r="AC953" i="1"/>
  <c r="AC954" i="1"/>
  <c r="AC955" i="1"/>
  <c r="AC956" i="1"/>
  <c r="AC961" i="1"/>
  <c r="AC962" i="1"/>
  <c r="AC963" i="1"/>
  <c r="AC964" i="1"/>
  <c r="AC970" i="1"/>
  <c r="AC971" i="1"/>
  <c r="AC974" i="1"/>
  <c r="AC978" i="1"/>
  <c r="AC980" i="1"/>
  <c r="AC981" i="1"/>
  <c r="AC987" i="1"/>
  <c r="AC988" i="1"/>
  <c r="AC990" i="1"/>
  <c r="AC1005" i="1"/>
  <c r="AC1006" i="1"/>
  <c r="AC1025" i="1"/>
  <c r="AC1032" i="1"/>
  <c r="AC1033" i="1"/>
  <c r="AC1034" i="1"/>
  <c r="AC1041" i="1"/>
  <c r="AC1044" i="1"/>
  <c r="AC1045" i="1"/>
  <c r="AC1046" i="1"/>
  <c r="AC1065" i="1"/>
  <c r="AC1066" i="1"/>
  <c r="AC1067" i="1"/>
  <c r="AC1078" i="1"/>
  <c r="AC1095" i="1"/>
  <c r="AC1102" i="1"/>
  <c r="AC1103" i="1"/>
  <c r="AC1104" i="1"/>
  <c r="AC1106" i="1"/>
  <c r="AC1111" i="1"/>
  <c r="AC1114" i="1"/>
  <c r="AC1117" i="1"/>
  <c r="AC1125" i="1"/>
  <c r="AC1126" i="1"/>
  <c r="AC1127" i="1"/>
  <c r="AC1128" i="1"/>
  <c r="AC1129" i="1"/>
  <c r="AC1130" i="1"/>
  <c r="AC1131" i="1"/>
  <c r="AC1159" i="1"/>
  <c r="AC1160" i="1"/>
  <c r="AC1161" i="1"/>
  <c r="AC1164" i="1"/>
  <c r="AC1169" i="1"/>
  <c r="AC1170" i="1"/>
  <c r="AC1173" i="1"/>
  <c r="AC1174" i="1"/>
  <c r="AC1175" i="1"/>
  <c r="AC1180" i="1"/>
  <c r="AC1212" i="1"/>
  <c r="AC1224" i="1"/>
  <c r="AC1237" i="1"/>
  <c r="AC1239" i="1"/>
  <c r="AC1246" i="1"/>
  <c r="AC1250" i="1"/>
  <c r="AC1273" i="1"/>
  <c r="AC1303" i="1"/>
  <c r="AC1338" i="1"/>
  <c r="AC1339" i="1"/>
  <c r="AC1340" i="1"/>
  <c r="AC1341" i="1"/>
  <c r="AC1342" i="1"/>
  <c r="AC1350" i="1"/>
  <c r="AC1351" i="1"/>
  <c r="AC1366" i="1"/>
  <c r="AC1381" i="1"/>
  <c r="AC1382" i="1"/>
  <c r="AC1383" i="1"/>
  <c r="AC1384" i="1"/>
  <c r="AC1396" i="1"/>
  <c r="AC1397" i="1"/>
  <c r="AC1422" i="1"/>
  <c r="AC1426" i="1"/>
  <c r="AC1503" i="1"/>
  <c r="AC1513" i="1"/>
  <c r="AC1514" i="1"/>
  <c r="AC1515" i="1"/>
  <c r="AC1517" i="1"/>
  <c r="AC1518" i="1"/>
  <c r="AC1519" i="1"/>
  <c r="AC1531" i="1"/>
  <c r="AC1550" i="1"/>
  <c r="AC1552" i="1"/>
  <c r="AC1553" i="1"/>
  <c r="AC1562" i="1"/>
  <c r="AC1573" i="1"/>
  <c r="AC1574" i="1"/>
  <c r="AC1575" i="1"/>
  <c r="AC1576" i="1"/>
  <c r="AC1577" i="1"/>
  <c r="AC1578" i="1"/>
  <c r="AC1579" i="1"/>
  <c r="AC1586" i="1"/>
  <c r="AC1612" i="1"/>
  <c r="AC1618" i="1"/>
  <c r="AC1621" i="1"/>
  <c r="AC1622" i="1"/>
  <c r="AC1623" i="1"/>
  <c r="AC1624" i="1"/>
  <c r="AC1632" i="1"/>
  <c r="AC1633" i="1"/>
  <c r="AC1634" i="1"/>
  <c r="AC1635" i="1"/>
  <c r="AC1636" i="1"/>
  <c r="AC1637" i="1"/>
  <c r="AC1638" i="1"/>
  <c r="AC1639" i="1"/>
  <c r="AC1640" i="1"/>
  <c r="AC1641" i="1"/>
  <c r="AC1642" i="1"/>
  <c r="AC1643" i="1"/>
  <c r="AC1644" i="1"/>
  <c r="AC1645" i="1"/>
  <c r="AC1646" i="1"/>
  <c r="AC1647" i="1"/>
  <c r="AC1648" i="1"/>
  <c r="AC1649" i="1"/>
  <c r="AC1650" i="1"/>
  <c r="AC1651" i="1"/>
  <c r="AC1652" i="1"/>
  <c r="AC1653" i="1"/>
  <c r="AC1654" i="1"/>
  <c r="AC1657" i="1"/>
  <c r="AC1658" i="1"/>
  <c r="AC1659" i="1"/>
  <c r="AC1660" i="1"/>
  <c r="AC1661" i="1"/>
  <c r="AC1662" i="1"/>
  <c r="AC1663" i="1"/>
  <c r="AC1664" i="1"/>
  <c r="AC1665" i="1"/>
  <c r="AC1667" i="1"/>
  <c r="AC1668" i="1"/>
  <c r="AC1669" i="1"/>
  <c r="AC1670" i="1"/>
  <c r="AC1671" i="1"/>
  <c r="AC1672" i="1"/>
  <c r="AC1673" i="1"/>
  <c r="AC1674" i="1"/>
  <c r="AC1676" i="1"/>
  <c r="AC1677" i="1"/>
  <c r="AC1678" i="1"/>
  <c r="AC1680" i="1"/>
  <c r="AC1681" i="1"/>
  <c r="AC1682" i="1"/>
  <c r="AC1683" i="1"/>
  <c r="AC1684" i="1"/>
  <c r="AC1685" i="1"/>
  <c r="AC1686" i="1"/>
  <c r="AC1687" i="1"/>
  <c r="AC1688" i="1"/>
  <c r="AC1689" i="1"/>
  <c r="AC1690" i="1"/>
  <c r="AC1692" i="1"/>
  <c r="AC1693" i="1"/>
  <c r="AC1694" i="1"/>
  <c r="AC1695" i="1"/>
  <c r="AC1696" i="1"/>
  <c r="AC1697" i="1"/>
  <c r="AC1698" i="1"/>
  <c r="AC1699" i="1"/>
  <c r="AC1700" i="1"/>
  <c r="AC1701" i="1"/>
  <c r="AC1702" i="1"/>
  <c r="AC1703" i="1"/>
  <c r="AC1704" i="1"/>
  <c r="AC1705" i="1"/>
  <c r="AC1706" i="1"/>
  <c r="AC1707" i="1"/>
  <c r="AC1708" i="1"/>
  <c r="AB34" i="1"/>
  <c r="AC34" i="1" s="1"/>
  <c r="AB100" i="1"/>
  <c r="AC100" i="1" s="1"/>
  <c r="AB102" i="1"/>
  <c r="AC102" i="1" s="1"/>
  <c r="AB112" i="1"/>
  <c r="AC112" i="1" s="1"/>
  <c r="AB152" i="1"/>
  <c r="AC152" i="1" s="1"/>
  <c r="AB199" i="1"/>
  <c r="AC199" i="1" s="1"/>
  <c r="AB201" i="1"/>
  <c r="AC201" i="1" s="1"/>
  <c r="AB221" i="1"/>
  <c r="AC221" i="1" s="1"/>
  <c r="AB222" i="1"/>
  <c r="AC222" i="1" s="1"/>
  <c r="AB246" i="1"/>
  <c r="AC246" i="1" s="1"/>
  <c r="AB303" i="1"/>
  <c r="AC303" i="1" s="1"/>
  <c r="AB316" i="1"/>
  <c r="AC316" i="1" s="1"/>
  <c r="AB321" i="1"/>
  <c r="AC321" i="1" s="1"/>
  <c r="AB325" i="1"/>
  <c r="AC325" i="1" s="1"/>
  <c r="AB326" i="1"/>
  <c r="AC326" i="1" s="1"/>
  <c r="AB398" i="1"/>
  <c r="AC398" i="1" s="1"/>
  <c r="AB532" i="1"/>
  <c r="AC532" i="1" s="1"/>
  <c r="AB574" i="1"/>
  <c r="AC574" i="1" s="1"/>
  <c r="AB600" i="1"/>
  <c r="AC600" i="1" s="1"/>
  <c r="AB619" i="1"/>
  <c r="AC619" i="1" s="1"/>
  <c r="AB669" i="1"/>
  <c r="AC669" i="1" s="1"/>
  <c r="AB695" i="1"/>
  <c r="AC695" i="1" s="1"/>
  <c r="AB727" i="1"/>
  <c r="AC727" i="1" s="1"/>
  <c r="AB760" i="1"/>
  <c r="AC760" i="1" s="1"/>
  <c r="AB788" i="1"/>
  <c r="AC788" i="1" s="1"/>
  <c r="AB861" i="1"/>
  <c r="AC861" i="1" s="1"/>
  <c r="AB871" i="1"/>
  <c r="AC871" i="1" s="1"/>
  <c r="AB882" i="1"/>
  <c r="AC882" i="1" s="1"/>
  <c r="AB932" i="1"/>
  <c r="AC932" i="1" s="1"/>
  <c r="AB939" i="1"/>
  <c r="AC939" i="1" s="1"/>
  <c r="AB946" i="1"/>
  <c r="AC946" i="1" s="1"/>
  <c r="AB952" i="1"/>
  <c r="AB1231" i="1"/>
  <c r="AC1231" i="1" s="1"/>
  <c r="AB1235" i="1"/>
  <c r="AC1235" i="1" s="1"/>
  <c r="AB1262" i="1"/>
  <c r="AC1262" i="1" s="1"/>
  <c r="AB1280" i="1"/>
  <c r="AC1280" i="1" s="1"/>
  <c r="AB1281" i="1"/>
  <c r="AC1281" i="1" s="1"/>
  <c r="AB1349" i="1"/>
  <c r="AC1349" i="1" s="1"/>
  <c r="AB1355" i="1"/>
  <c r="AC1355" i="1" s="1"/>
  <c r="AC1357" i="1"/>
  <c r="AB1421" i="1"/>
  <c r="AC1421" i="1" s="1"/>
  <c r="AB1467" i="1"/>
  <c r="AC1467" i="1" s="1"/>
  <c r="AB1539" i="1"/>
  <c r="AC1539" i="1" s="1"/>
  <c r="AC1545" i="1"/>
  <c r="AB1571" i="1"/>
  <c r="AC1571" i="1" s="1"/>
  <c r="AB49" i="1"/>
  <c r="AB51" i="1"/>
  <c r="AB52" i="1"/>
  <c r="AB57" i="1"/>
  <c r="AC57" i="1" s="1"/>
  <c r="AB58" i="1"/>
  <c r="AC58" i="1" s="1"/>
  <c r="AB68" i="1"/>
  <c r="AC68" i="1" s="1"/>
  <c r="AB73" i="1"/>
  <c r="AB81" i="1"/>
  <c r="AB91" i="1"/>
  <c r="AC91" i="1" s="1"/>
  <c r="AB106" i="1"/>
  <c r="AC106" i="1" s="1"/>
  <c r="AB154" i="1"/>
  <c r="AC154" i="1" s="1"/>
  <c r="AB177" i="1"/>
  <c r="AC177" i="1" s="1"/>
  <c r="AB178" i="1"/>
  <c r="AC178" i="1" s="1"/>
  <c r="AB196" i="1"/>
  <c r="AC196" i="1" s="1"/>
  <c r="AB215" i="1"/>
  <c r="AC215" i="1" s="1"/>
  <c r="AB217" i="1"/>
  <c r="AC217" i="1" s="1"/>
  <c r="AB218" i="1"/>
  <c r="AC218" i="1" s="1"/>
  <c r="AB223" i="1"/>
  <c r="AC223" i="1" s="1"/>
  <c r="AB261" i="1"/>
  <c r="AC261" i="1" s="1"/>
  <c r="AC279" i="1"/>
  <c r="AC289" i="1"/>
  <c r="AB290" i="1"/>
  <c r="AC290" i="1" s="1"/>
  <c r="AC311" i="1"/>
  <c r="AB322" i="1"/>
  <c r="AC322" i="1" s="1"/>
  <c r="AB379" i="1"/>
  <c r="AC379" i="1" s="1"/>
  <c r="AB403" i="1"/>
  <c r="AC403" i="1" s="1"/>
  <c r="AB405" i="1"/>
  <c r="AC405" i="1" s="1"/>
  <c r="AB406" i="1"/>
  <c r="AC406" i="1" s="1"/>
  <c r="AB415" i="1"/>
  <c r="AC415" i="1" s="1"/>
  <c r="AB416" i="1"/>
  <c r="AB423" i="1"/>
  <c r="AC423" i="1" s="1"/>
  <c r="AB433" i="1"/>
  <c r="AC433" i="1" s="1"/>
  <c r="AB445" i="1"/>
  <c r="AC445" i="1" s="1"/>
  <c r="AB447" i="1"/>
  <c r="AC447" i="1" s="1"/>
  <c r="AB479" i="1"/>
  <c r="AC479" i="1" s="1"/>
  <c r="AC489" i="1"/>
  <c r="AB500" i="1"/>
  <c r="AC500" i="1" s="1"/>
  <c r="AB506" i="1"/>
  <c r="AC506" i="1" s="1"/>
  <c r="AB530" i="1"/>
  <c r="AC530" i="1" s="1"/>
  <c r="AB546" i="1"/>
  <c r="AC546" i="1" s="1"/>
  <c r="AB583" i="1"/>
  <c r="AC583" i="1" s="1"/>
  <c r="AB621" i="1"/>
  <c r="AC621" i="1" s="1"/>
  <c r="AC627" i="1"/>
  <c r="AB691" i="1"/>
  <c r="AC691" i="1" s="1"/>
  <c r="AB694" i="1"/>
  <c r="AC694" i="1" s="1"/>
  <c r="AB711" i="1"/>
  <c r="AC711" i="1" s="1"/>
  <c r="AB779" i="1"/>
  <c r="AC779" i="1" s="1"/>
  <c r="AB803" i="1"/>
  <c r="AC803" i="1" s="1"/>
  <c r="AB825" i="1"/>
  <c r="AC825" i="1" s="1"/>
  <c r="AB831" i="1"/>
  <c r="AC831" i="1" s="1"/>
  <c r="AB843" i="1"/>
  <c r="AC843" i="1" s="1"/>
  <c r="AC859" i="1"/>
  <c r="AB864" i="1"/>
  <c r="AC864" i="1" s="1"/>
  <c r="AB945" i="1"/>
  <c r="AC945" i="1" s="1"/>
  <c r="AC994" i="1"/>
  <c r="AB1010" i="1"/>
  <c r="AC1010" i="1" s="1"/>
  <c r="AB1029" i="1"/>
  <c r="AC1029" i="1" s="1"/>
  <c r="AB1131" i="1"/>
  <c r="AB1150" i="1"/>
  <c r="AC1150" i="1" s="1"/>
  <c r="AB1205" i="1"/>
  <c r="AC1205" i="1" s="1"/>
  <c r="AB1257" i="1"/>
  <c r="AC1257" i="1" s="1"/>
  <c r="AB1268" i="1"/>
  <c r="AC1268" i="1" s="1"/>
  <c r="AC1286" i="1"/>
  <c r="AB1324" i="1"/>
  <c r="AC1324" i="1" s="1"/>
  <c r="AB1340" i="1"/>
  <c r="AB1359" i="1"/>
  <c r="AC1359" i="1" s="1"/>
  <c r="AB1376" i="1"/>
  <c r="AC1376" i="1" s="1"/>
  <c r="AB1401" i="1"/>
  <c r="AC1401" i="1" s="1"/>
  <c r="AC1417" i="1"/>
  <c r="AC1418" i="1"/>
  <c r="AB1509" i="1"/>
  <c r="AC1509" i="1" s="1"/>
  <c r="AB1512" i="1"/>
  <c r="AC1512" i="1" s="1"/>
  <c r="AB1518" i="1"/>
  <c r="AB1527" i="1"/>
  <c r="AC1527" i="1" s="1"/>
  <c r="AB50" i="1"/>
  <c r="AC50" i="1" s="1"/>
  <c r="AB53" i="1"/>
  <c r="AC53" i="1" s="1"/>
  <c r="AB60" i="1"/>
  <c r="AC60" i="1" s="1"/>
  <c r="AB92" i="1"/>
  <c r="AC92" i="1" s="1"/>
  <c r="AB124" i="1"/>
  <c r="AC124" i="1" s="1"/>
  <c r="AB148" i="1"/>
  <c r="AC148" i="1" s="1"/>
  <c r="AB149" i="1"/>
  <c r="AC149" i="1" s="1"/>
  <c r="AB150" i="1"/>
  <c r="AC150" i="1" s="1"/>
  <c r="AB165" i="1"/>
  <c r="AC165" i="1" s="1"/>
  <c r="AB200" i="1"/>
  <c r="AC200" i="1" s="1"/>
  <c r="AC281" i="1"/>
  <c r="AB294" i="1"/>
  <c r="AC294" i="1" s="1"/>
  <c r="AB323" i="1"/>
  <c r="AC323" i="1" s="1"/>
  <c r="AB354" i="1"/>
  <c r="AC354" i="1" s="1"/>
  <c r="AB376" i="1"/>
  <c r="AC376" i="1" s="1"/>
  <c r="AB391" i="1"/>
  <c r="AC391" i="1" s="1"/>
  <c r="AB414" i="1"/>
  <c r="AC414" i="1" s="1"/>
  <c r="AB477" i="1"/>
  <c r="AC477" i="1" s="1"/>
  <c r="AB510" i="1"/>
  <c r="AC510" i="1" s="1"/>
  <c r="AB529" i="1"/>
  <c r="AC535" i="1"/>
  <c r="AB589" i="1"/>
  <c r="AC589" i="1" s="1"/>
  <c r="AB620" i="1"/>
  <c r="AC620" i="1" s="1"/>
  <c r="AB646" i="1"/>
  <c r="AC646" i="1" s="1"/>
  <c r="AB688" i="1"/>
  <c r="AC688" i="1" s="1"/>
  <c r="AB690" i="1"/>
  <c r="AC690" i="1" s="1"/>
  <c r="AB747" i="1"/>
  <c r="AC747" i="1" s="1"/>
  <c r="AB761" i="1"/>
  <c r="AC761" i="1" s="1"/>
  <c r="AB806" i="1"/>
  <c r="AC838" i="1"/>
  <c r="AB870" i="1"/>
  <c r="AC870" i="1" s="1"/>
  <c r="AB877" i="1"/>
  <c r="AC877" i="1" s="1"/>
  <c r="AB878" i="1"/>
  <c r="AC878" i="1" s="1"/>
  <c r="AB903" i="1"/>
  <c r="AC903" i="1" s="1"/>
  <c r="AB963" i="1"/>
  <c r="AB973" i="1"/>
  <c r="AC973" i="1" s="1"/>
  <c r="AB991" i="1"/>
  <c r="AC991" i="1" s="1"/>
  <c r="AB1046" i="1"/>
  <c r="AB1107" i="1"/>
  <c r="AC1107" i="1" s="1"/>
  <c r="AB1123" i="1"/>
  <c r="AC1123" i="1" s="1"/>
  <c r="AB1135" i="1"/>
  <c r="AC1135" i="1" s="1"/>
  <c r="AC1146" i="1"/>
  <c r="AB1174" i="1"/>
  <c r="AB1212" i="1"/>
  <c r="AB1230" i="1"/>
  <c r="AC1230" i="1" s="1"/>
  <c r="AB1253" i="1"/>
  <c r="AC1253" i="1" s="1"/>
  <c r="AB1264" i="1"/>
  <c r="AC1264" i="1" s="1"/>
  <c r="AB1270" i="1"/>
  <c r="AC1270" i="1" s="1"/>
  <c r="AC1275" i="1"/>
  <c r="AB1278" i="1"/>
  <c r="AC1278" i="1" s="1"/>
  <c r="AB1303" i="1"/>
  <c r="AB1330" i="1"/>
  <c r="AC1330" i="1" s="1"/>
  <c r="AB1505" i="1"/>
  <c r="AC1505" i="1" s="1"/>
  <c r="AB1510" i="1"/>
  <c r="AC1510" i="1" s="1"/>
  <c r="AB1511" i="1"/>
  <c r="AC1511" i="1" s="1"/>
  <c r="AB1560" i="1"/>
  <c r="AC1560" i="1" s="1"/>
  <c r="AB1567" i="1"/>
  <c r="AC1567" i="1" s="1"/>
  <c r="AB1678" i="1"/>
  <c r="AB31" i="1"/>
  <c r="AC31" i="1" s="1"/>
  <c r="AB35" i="1"/>
  <c r="AC35" i="1" s="1"/>
  <c r="AB46" i="1"/>
  <c r="AC46" i="1" s="1"/>
  <c r="AB48" i="1"/>
  <c r="AC48" i="1" s="1"/>
  <c r="AB55" i="1"/>
  <c r="AC55" i="1" s="1"/>
  <c r="AB77" i="1"/>
  <c r="AC77" i="1" s="1"/>
  <c r="AB98" i="1"/>
  <c r="AB105" i="1"/>
  <c r="AC105" i="1" s="1"/>
  <c r="AB120" i="1"/>
  <c r="AB121" i="1"/>
  <c r="AC121" i="1" s="1"/>
  <c r="AB197" i="1"/>
  <c r="AC197" i="1" s="1"/>
  <c r="AB198" i="1"/>
  <c r="AC198" i="1" s="1"/>
  <c r="AB204" i="1"/>
  <c r="AC204" i="1" s="1"/>
  <c r="AB205" i="1"/>
  <c r="AC205" i="1" s="1"/>
  <c r="AB209" i="1"/>
  <c r="AC209" i="1" s="1"/>
  <c r="AB227" i="1"/>
  <c r="AC227" i="1" s="1"/>
  <c r="AB228" i="1"/>
  <c r="AC228" i="1" s="1"/>
  <c r="AB263" i="1"/>
  <c r="AC263" i="1" s="1"/>
  <c r="AB293" i="1"/>
  <c r="AC293" i="1" s="1"/>
  <c r="AB302" i="1"/>
  <c r="AC302" i="1" s="1"/>
  <c r="AB307" i="1"/>
  <c r="AC307" i="1" s="1"/>
  <c r="AB310" i="1"/>
  <c r="AC310" i="1" s="1"/>
  <c r="AB315" i="1"/>
  <c r="AC315" i="1" s="1"/>
  <c r="AB327" i="1"/>
  <c r="AC327" i="1" s="1"/>
  <c r="AB350" i="1"/>
  <c r="AC350" i="1" s="1"/>
  <c r="AB361" i="1"/>
  <c r="AC395" i="1"/>
  <c r="AB396" i="1"/>
  <c r="AB417" i="1"/>
  <c r="AB418" i="1"/>
  <c r="AC418" i="1" s="1"/>
  <c r="AC420" i="1"/>
  <c r="AB427" i="1"/>
  <c r="AC427" i="1" s="1"/>
  <c r="AB435" i="1"/>
  <c r="AC435" i="1" s="1"/>
  <c r="AB446" i="1"/>
  <c r="AC446" i="1" s="1"/>
  <c r="AB448" i="1"/>
  <c r="AC448" i="1" s="1"/>
  <c r="AB497" i="1"/>
  <c r="AC497" i="1" s="1"/>
  <c r="AB562" i="1"/>
  <c r="AC562" i="1" s="1"/>
  <c r="AB563" i="1"/>
  <c r="AC563" i="1" s="1"/>
  <c r="AB579" i="1"/>
  <c r="AC579" i="1" s="1"/>
  <c r="AB584" i="1"/>
  <c r="AC584" i="1" s="1"/>
  <c r="AB603" i="1"/>
  <c r="AC603" i="1" s="1"/>
  <c r="AB604" i="1"/>
  <c r="AC604" i="1" s="1"/>
  <c r="AB622" i="1"/>
  <c r="AC622" i="1" s="1"/>
  <c r="AB630" i="1"/>
  <c r="AC630" i="1" s="1"/>
  <c r="AB643" i="1"/>
  <c r="AC643" i="1" s="1"/>
  <c r="AB689" i="1"/>
  <c r="AC689" i="1" s="1"/>
  <c r="AB693" i="1"/>
  <c r="AC693" i="1" s="1"/>
  <c r="AC702" i="1"/>
  <c r="AB703" i="1"/>
  <c r="AC703" i="1" s="1"/>
  <c r="AB704" i="1"/>
  <c r="AC704" i="1" s="1"/>
  <c r="AB714" i="1"/>
  <c r="AB744" i="1"/>
  <c r="AC744" i="1" s="1"/>
  <c r="AB755" i="1"/>
  <c r="AC755" i="1" s="1"/>
  <c r="AC763" i="1"/>
  <c r="AB776" i="1"/>
  <c r="AC776" i="1" s="1"/>
  <c r="AB778" i="1"/>
  <c r="AC778" i="1" s="1"/>
  <c r="AC828" i="1"/>
  <c r="AB837" i="1"/>
  <c r="AC837" i="1" s="1"/>
  <c r="AB923" i="1"/>
  <c r="AC923" i="1" s="1"/>
  <c r="AB927" i="1"/>
  <c r="AC927" i="1" s="1"/>
  <c r="AB944" i="1"/>
  <c r="AC944" i="1" s="1"/>
  <c r="AB971" i="1"/>
  <c r="AB985" i="1"/>
  <c r="AC985" i="1" s="1"/>
  <c r="AB1034" i="1"/>
  <c r="AB1121" i="1"/>
  <c r="AC1121" i="1" s="1"/>
  <c r="AB1137" i="1"/>
  <c r="AC1137" i="1" s="1"/>
  <c r="AC1147" i="1"/>
  <c r="AB1182" i="1"/>
  <c r="AC1182" i="1" s="1"/>
  <c r="AB1187" i="1"/>
  <c r="AC1187" i="1" s="1"/>
  <c r="AB1243" i="1"/>
  <c r="AC1243" i="1" s="1"/>
  <c r="AC1249" i="1"/>
  <c r="AB1259" i="1"/>
  <c r="AC1259" i="1" s="1"/>
  <c r="AC1267" i="1"/>
  <c r="AB1272" i="1"/>
  <c r="AC1272" i="1" s="1"/>
  <c r="AC1333" i="1"/>
  <c r="AC1356" i="1"/>
  <c r="AB1385" i="1"/>
  <c r="AC1385" i="1" s="1"/>
  <c r="AB1405" i="1"/>
  <c r="AC1405" i="1" s="1"/>
  <c r="AB1465" i="1"/>
  <c r="AC1465" i="1" s="1"/>
  <c r="AB1493" i="1"/>
  <c r="AC1493" i="1" s="1"/>
  <c r="AB1499" i="1"/>
  <c r="AC1499" i="1" s="1"/>
  <c r="AB1504" i="1"/>
  <c r="AC1504" i="1" s="1"/>
  <c r="AB1507" i="1"/>
  <c r="AC1507" i="1" s="1"/>
  <c r="AB1530" i="1"/>
  <c r="AC1530" i="1" s="1"/>
  <c r="AB1540" i="1"/>
  <c r="AC1540" i="1" s="1"/>
  <c r="AB1551" i="1"/>
  <c r="AC1551" i="1" s="1"/>
  <c r="AB1564" i="1"/>
  <c r="AC1564" i="1" s="1"/>
  <c r="AB33" i="1"/>
  <c r="AC33" i="1" s="1"/>
  <c r="AB59" i="1"/>
  <c r="AB82" i="1"/>
  <c r="AC99" i="1"/>
  <c r="AB103" i="1"/>
  <c r="AC117" i="1"/>
  <c r="AB146" i="1"/>
  <c r="AC146" i="1" s="1"/>
  <c r="AB226" i="1"/>
  <c r="AC226" i="1" s="1"/>
  <c r="AB276" i="1"/>
  <c r="AC276" i="1" s="1"/>
  <c r="AB349" i="1"/>
  <c r="AC349" i="1" s="1"/>
  <c r="AB364" i="1"/>
  <c r="AC364" i="1" s="1"/>
  <c r="AB371" i="1"/>
  <c r="AC371" i="1" s="1"/>
  <c r="AB382" i="1"/>
  <c r="AC382" i="1" s="1"/>
  <c r="AB397" i="1"/>
  <c r="AB462" i="1"/>
  <c r="AC462" i="1" s="1"/>
  <c r="AB463" i="1"/>
  <c r="AC463" i="1" s="1"/>
  <c r="AB492" i="1"/>
  <c r="AC492" i="1" s="1"/>
  <c r="AB499" i="1"/>
  <c r="AC499" i="1" s="1"/>
  <c r="AB531" i="1"/>
  <c r="AC531" i="1" s="1"/>
  <c r="AB557" i="1"/>
  <c r="AC557" i="1" s="1"/>
  <c r="AB580" i="1"/>
  <c r="AC580" i="1" s="1"/>
  <c r="AB582" i="1"/>
  <c r="AC582" i="1" s="1"/>
  <c r="AB617" i="1"/>
  <c r="AC617" i="1" s="1"/>
  <c r="AB632" i="1"/>
  <c r="AC632" i="1" s="1"/>
  <c r="AB647" i="1"/>
  <c r="AC647" i="1" s="1"/>
  <c r="AB653" i="1"/>
  <c r="AC653" i="1" s="1"/>
  <c r="AB713" i="1"/>
  <c r="AC713" i="1" s="1"/>
  <c r="AB750" i="1"/>
  <c r="AB759" i="1"/>
  <c r="AB762" i="1"/>
  <c r="AC762" i="1" s="1"/>
  <c r="AB824" i="1"/>
  <c r="AC824" i="1" s="1"/>
  <c r="AB906" i="1"/>
  <c r="AB933" i="1"/>
  <c r="AC933" i="1" s="1"/>
  <c r="AB983" i="1"/>
  <c r="AC983" i="1" s="1"/>
  <c r="AB1124" i="1"/>
  <c r="AC1124" i="1" s="1"/>
  <c r="AB1127" i="1"/>
  <c r="AB1138" i="1"/>
  <c r="AC1138" i="1" s="1"/>
  <c r="AB1171" i="1"/>
  <c r="AC1171" i="1" s="1"/>
  <c r="AB1173" i="1"/>
  <c r="AB1206" i="1"/>
  <c r="AC1206" i="1" s="1"/>
  <c r="AC1307" i="1"/>
  <c r="AC1313" i="1"/>
  <c r="AB1384" i="1"/>
  <c r="AC1424" i="1"/>
  <c r="AB1428" i="1"/>
  <c r="AC1428" i="1" s="1"/>
  <c r="AB1464" i="1"/>
  <c r="AC1464" i="1" s="1"/>
  <c r="AB1631" i="1"/>
  <c r="AC1631" i="1" s="1"/>
  <c r="AB1655" i="1"/>
  <c r="AC1655" i="1" s="1"/>
  <c r="AB32" i="1"/>
  <c r="AC32" i="1" s="1"/>
  <c r="AB43" i="1"/>
  <c r="AC43" i="1" s="1"/>
  <c r="AB44" i="1"/>
  <c r="AC44" i="1" s="1"/>
  <c r="AB45" i="1"/>
  <c r="AC45" i="1" s="1"/>
  <c r="AB66" i="1"/>
  <c r="AC66" i="1" s="1"/>
  <c r="AB143" i="1"/>
  <c r="AC143" i="1" s="1"/>
  <c r="AB179" i="1"/>
  <c r="AC179" i="1" s="1"/>
  <c r="AB236" i="1"/>
  <c r="AC236" i="1" s="1"/>
  <c r="AC280" i="1"/>
  <c r="AB352" i="1"/>
  <c r="AC352" i="1" s="1"/>
  <c r="AB404" i="1"/>
  <c r="AC404" i="1" s="1"/>
  <c r="AB437" i="1"/>
  <c r="AC437" i="1" s="1"/>
  <c r="AB444" i="1"/>
  <c r="AC444" i="1" s="1"/>
  <c r="AB460" i="1"/>
  <c r="AC460" i="1" s="1"/>
  <c r="AB478" i="1"/>
  <c r="AC478" i="1" s="1"/>
  <c r="AB551" i="1"/>
  <c r="AC551" i="1" s="1"/>
  <c r="AB565" i="1"/>
  <c r="AC565" i="1" s="1"/>
  <c r="AB568" i="1"/>
  <c r="AC568" i="1" s="1"/>
  <c r="AB575" i="1"/>
  <c r="AC575" i="1" s="1"/>
  <c r="AB609" i="1"/>
  <c r="AC609" i="1" s="1"/>
  <c r="AB610" i="1"/>
  <c r="AC610" i="1" s="1"/>
  <c r="AC618" i="1"/>
  <c r="AB633" i="1"/>
  <c r="AC633" i="1" s="1"/>
  <c r="AB637" i="1"/>
  <c r="AC637" i="1" s="1"/>
  <c r="AB639" i="1"/>
  <c r="AB645" i="1"/>
  <c r="AC645" i="1" s="1"/>
  <c r="AC697" i="1"/>
  <c r="AB732" i="1"/>
  <c r="AC732" i="1" s="1"/>
  <c r="AB746" i="1"/>
  <c r="AB790" i="1"/>
  <c r="AB793" i="1"/>
  <c r="AC793" i="1" s="1"/>
  <c r="AB796" i="1"/>
  <c r="AC796" i="1" s="1"/>
  <c r="AB820" i="1"/>
  <c r="AC820" i="1" s="1"/>
  <c r="AB880" i="1"/>
  <c r="AC880" i="1" s="1"/>
  <c r="AC883" i="1"/>
  <c r="AB934" i="1"/>
  <c r="AC934" i="1" s="1"/>
  <c r="AB1060" i="1"/>
  <c r="AC1060" i="1" s="1"/>
  <c r="AB1091" i="1"/>
  <c r="AC1091" i="1" s="1"/>
  <c r="AB1097" i="1"/>
  <c r="AC1097" i="1" s="1"/>
  <c r="AB1103" i="1"/>
  <c r="AB1115" i="1"/>
  <c r="AC1115" i="1" s="1"/>
  <c r="AC1120" i="1"/>
  <c r="AB1140" i="1"/>
  <c r="AC1140" i="1" s="1"/>
  <c r="AB1204" i="1"/>
  <c r="AC1204" i="1" s="1"/>
  <c r="AB1252" i="1"/>
  <c r="AC1252" i="1" s="1"/>
  <c r="AB1312" i="1"/>
  <c r="AC1312" i="1" s="1"/>
  <c r="AB1363" i="1"/>
  <c r="AC1363" i="1" s="1"/>
  <c r="AB1463" i="1"/>
  <c r="AC1463" i="1" s="1"/>
  <c r="AB1482" i="1"/>
  <c r="AC1482" i="1" s="1"/>
  <c r="AB1488" i="1"/>
  <c r="AC1488" i="1" s="1"/>
  <c r="AB1552" i="1"/>
  <c r="AB95" i="1"/>
  <c r="AC95" i="1" s="1"/>
  <c r="AB167" i="1"/>
  <c r="AC167" i="1" s="1"/>
  <c r="AB170" i="1"/>
  <c r="AC170" i="1" s="1"/>
  <c r="AB188" i="1"/>
  <c r="AC188" i="1" s="1"/>
  <c r="AC278" i="1"/>
  <c r="AB282" i="1"/>
  <c r="AC282" i="1" s="1"/>
  <c r="AB305" i="1"/>
  <c r="AC305" i="1" s="1"/>
  <c r="AB353" i="1"/>
  <c r="AC353" i="1" s="1"/>
  <c r="AB452" i="1"/>
  <c r="AC452" i="1" s="1"/>
  <c r="AB483" i="1"/>
  <c r="AC483" i="1" s="1"/>
  <c r="AB533" i="1"/>
  <c r="AC533" i="1" s="1"/>
  <c r="AB550" i="1"/>
  <c r="AC550" i="1" s="1"/>
  <c r="AB590" i="1"/>
  <c r="AC590" i="1" s="1"/>
  <c r="AB599" i="1"/>
  <c r="AC599" i="1" s="1"/>
  <c r="AB696" i="1"/>
  <c r="AC696" i="1" s="1"/>
  <c r="AB749" i="1"/>
  <c r="AB786" i="1"/>
  <c r="AB787" i="1"/>
  <c r="AC787" i="1" s="1"/>
  <c r="AB855" i="1"/>
  <c r="AC855" i="1" s="1"/>
  <c r="AB890" i="1"/>
  <c r="AC890" i="1" s="1"/>
  <c r="AB969" i="1"/>
  <c r="AC969" i="1" s="1"/>
  <c r="AB990" i="1"/>
  <c r="AB999" i="1"/>
  <c r="AC999" i="1" s="1"/>
  <c r="AB1031" i="1"/>
  <c r="AC1031" i="1" s="1"/>
  <c r="AB1057" i="1"/>
  <c r="AC1057" i="1" s="1"/>
  <c r="AB1058" i="1"/>
  <c r="AC1058" i="1" s="1"/>
  <c r="AB1148" i="1"/>
  <c r="AC1148" i="1" s="1"/>
  <c r="AB1239" i="1"/>
  <c r="AB1269" i="1"/>
  <c r="AC1269" i="1" s="1"/>
  <c r="AB1364" i="1"/>
  <c r="AC1364" i="1" s="1"/>
  <c r="AC1375" i="1"/>
  <c r="AB1388" i="1"/>
  <c r="AC1388" i="1" s="1"/>
  <c r="AB1394" i="1"/>
  <c r="AC1394" i="1" s="1"/>
  <c r="AB1413" i="1"/>
  <c r="AC1413" i="1" s="1"/>
  <c r="AB1478" i="1"/>
  <c r="AC1478" i="1" s="1"/>
  <c r="AB1485" i="1"/>
  <c r="AC1485" i="1" s="1"/>
  <c r="AB1486" i="1"/>
  <c r="AC1486" i="1" s="1"/>
  <c r="AB1520" i="1"/>
  <c r="AC1520" i="1" s="1"/>
  <c r="AB1522" i="1"/>
  <c r="AC1522" i="1" s="1"/>
  <c r="AB1537" i="1"/>
  <c r="AC1537" i="1" s="1"/>
  <c r="AB27" i="1"/>
  <c r="AC27" i="1" s="1"/>
  <c r="AB28" i="1"/>
  <c r="AC28" i="1" s="1"/>
  <c r="AB63" i="1"/>
  <c r="AC63" i="1" s="1"/>
  <c r="AB190" i="1"/>
  <c r="AC190" i="1" s="1"/>
  <c r="AC220" i="1"/>
  <c r="AB257" i="1"/>
  <c r="AC257" i="1" s="1"/>
  <c r="AB266" i="1"/>
  <c r="AC266" i="1" s="1"/>
  <c r="AB314" i="1"/>
  <c r="AC314" i="1" s="1"/>
  <c r="AB377" i="1"/>
  <c r="AC377" i="1" s="1"/>
  <c r="AB381" i="1"/>
  <c r="AC381" i="1" s="1"/>
  <c r="AB428" i="1"/>
  <c r="AC428" i="1" s="1"/>
  <c r="AB459" i="1"/>
  <c r="AB464" i="1"/>
  <c r="AC464" i="1" s="1"/>
  <c r="AB501" i="1"/>
  <c r="AC501" i="1" s="1"/>
  <c r="AC534" i="1"/>
  <c r="AB577" i="1"/>
  <c r="AC577" i="1" s="1"/>
  <c r="AB586" i="1"/>
  <c r="AC586" i="1" s="1"/>
  <c r="AB597" i="1"/>
  <c r="AC597" i="1" s="1"/>
  <c r="AB605" i="1"/>
  <c r="AC605" i="1" s="1"/>
  <c r="AB701" i="1"/>
  <c r="AC701" i="1" s="1"/>
  <c r="AB731" i="1"/>
  <c r="AC731" i="1" s="1"/>
  <c r="AB767" i="1"/>
  <c r="AC767" i="1" s="1"/>
  <c r="AB819" i="1"/>
  <c r="AC819" i="1" s="1"/>
  <c r="AB832" i="1"/>
  <c r="AC852" i="1"/>
  <c r="AB879" i="1"/>
  <c r="AC879" i="1" s="1"/>
  <c r="AB881" i="1"/>
  <c r="AC881" i="1" s="1"/>
  <c r="AB905" i="1"/>
  <c r="AB922" i="1"/>
  <c r="AC922" i="1" s="1"/>
  <c r="AB1072" i="1"/>
  <c r="AC1072" i="1" s="1"/>
  <c r="AB1113" i="1"/>
  <c r="AC1113" i="1" s="1"/>
  <c r="AB1129" i="1"/>
  <c r="AB1167" i="1"/>
  <c r="AC1167" i="1" s="1"/>
  <c r="AB1178" i="1"/>
  <c r="AC1178" i="1" s="1"/>
  <c r="AC1213" i="1"/>
  <c r="AB1214" i="1"/>
  <c r="AC1214" i="1" s="1"/>
  <c r="AB1219" i="1"/>
  <c r="AC1219" i="1" s="1"/>
  <c r="AB1251" i="1"/>
  <c r="AC1251" i="1" s="1"/>
  <c r="AB1258" i="1"/>
  <c r="AC1258" i="1" s="1"/>
  <c r="AB1261" i="1"/>
  <c r="AC1261" i="1" s="1"/>
  <c r="AB1321" i="1"/>
  <c r="AC1321" i="1" s="1"/>
  <c r="AB1351" i="1"/>
  <c r="AB1407" i="1"/>
  <c r="AC1407" i="1" s="1"/>
  <c r="AB1409" i="1"/>
  <c r="AC1409" i="1" s="1"/>
  <c r="AB1419" i="1"/>
  <c r="AC1419" i="1" s="1"/>
  <c r="AB1459" i="1"/>
  <c r="AC1459" i="1" s="1"/>
  <c r="AB1461" i="1"/>
  <c r="AC1461" i="1" s="1"/>
  <c r="AB94" i="1"/>
  <c r="AC94" i="1" s="1"/>
  <c r="AB118" i="1"/>
  <c r="AC118" i="1" s="1"/>
  <c r="AB173" i="1"/>
  <c r="AC173" i="1" s="1"/>
  <c r="AB186" i="1"/>
  <c r="AC186" i="1" s="1"/>
  <c r="AB192" i="1"/>
  <c r="AC192" i="1" s="1"/>
  <c r="AB255" i="1"/>
  <c r="AC255" i="1" s="1"/>
  <c r="AB291" i="1"/>
  <c r="AC291" i="1" s="1"/>
  <c r="AB313" i="1"/>
  <c r="AC313" i="1" s="1"/>
  <c r="AB318" i="1"/>
  <c r="AC318" i="1" s="1"/>
  <c r="AB337" i="1"/>
  <c r="AC337" i="1" s="1"/>
  <c r="AB368" i="1"/>
  <c r="AC368" i="1" s="1"/>
  <c r="AB372" i="1"/>
  <c r="AC372" i="1" s="1"/>
  <c r="AB394" i="1"/>
  <c r="AC394" i="1" s="1"/>
  <c r="AB410" i="1"/>
  <c r="AC410" i="1" s="1"/>
  <c r="AB451" i="1"/>
  <c r="AC451" i="1" s="1"/>
  <c r="AB561" i="1"/>
  <c r="AC561" i="1" s="1"/>
  <c r="AB581" i="1"/>
  <c r="AC581" i="1" s="1"/>
  <c r="AB602" i="1"/>
  <c r="AC602" i="1" s="1"/>
  <c r="AB686" i="1"/>
  <c r="AC686" i="1" s="1"/>
  <c r="AB712" i="1"/>
  <c r="AC712" i="1" s="1"/>
  <c r="AB726" i="1"/>
  <c r="AC726" i="1" s="1"/>
  <c r="AC780" i="1"/>
  <c r="AB857" i="1"/>
  <c r="AC857" i="1" s="1"/>
  <c r="AB876" i="1"/>
  <c r="AC876" i="1" s="1"/>
  <c r="AB929" i="1"/>
  <c r="AC929" i="1" s="1"/>
  <c r="AC941" i="1"/>
  <c r="AB981" i="1"/>
  <c r="AB982" i="1"/>
  <c r="AC982" i="1" s="1"/>
  <c r="AB1003" i="1"/>
  <c r="AC1003" i="1" s="1"/>
  <c r="AB1077" i="1"/>
  <c r="AC1077" i="1" s="1"/>
  <c r="AB1096" i="1"/>
  <c r="AC1096" i="1" s="1"/>
  <c r="AB1132" i="1"/>
  <c r="AC1132" i="1" s="1"/>
  <c r="AB1163" i="1"/>
  <c r="AC1163" i="1" s="1"/>
  <c r="AB1176" i="1"/>
  <c r="AC1176" i="1" s="1"/>
  <c r="AB1177" i="1"/>
  <c r="AC1177" i="1" s="1"/>
  <c r="AB1180" i="1"/>
  <c r="AB1185" i="1"/>
  <c r="AC1185" i="1" s="1"/>
  <c r="AB1186" i="1"/>
  <c r="AC1186" i="1" s="1"/>
  <c r="AB1203" i="1"/>
  <c r="AC1203" i="1" s="1"/>
  <c r="AB1244" i="1"/>
  <c r="AC1244" i="1" s="1"/>
  <c r="AB1263" i="1"/>
  <c r="AC1263" i="1" s="1"/>
  <c r="AB1301" i="1"/>
  <c r="AC1301" i="1" s="1"/>
  <c r="AB1352" i="1"/>
  <c r="AC1352" i="1" s="1"/>
  <c r="AB1441" i="1"/>
  <c r="AC1441" i="1" s="1"/>
  <c r="AB1458" i="1"/>
  <c r="AC1458" i="1" s="1"/>
  <c r="AB1521" i="1"/>
  <c r="AC1521" i="1" s="1"/>
  <c r="AB1538" i="1"/>
  <c r="AC1538" i="1" s="1"/>
  <c r="AB1656" i="1"/>
  <c r="AC1656" i="1" s="1"/>
  <c r="AB25" i="1"/>
  <c r="AC25" i="1" s="1"/>
  <c r="AB83" i="1"/>
  <c r="AC83" i="1" s="1"/>
  <c r="AB109" i="1"/>
  <c r="AC109" i="1" s="1"/>
  <c r="AB141" i="1"/>
  <c r="AC141" i="1" s="1"/>
  <c r="AB195" i="1"/>
  <c r="AC195" i="1" s="1"/>
  <c r="AB224" i="1"/>
  <c r="AC224" i="1" s="1"/>
  <c r="AB275" i="1"/>
  <c r="AC275" i="1" s="1"/>
  <c r="AB284" i="1"/>
  <c r="AC284" i="1" s="1"/>
  <c r="AB300" i="1"/>
  <c r="AC300" i="1" s="1"/>
  <c r="AB304" i="1"/>
  <c r="AC304" i="1" s="1"/>
  <c r="AB432" i="1"/>
  <c r="AC518" i="1"/>
  <c r="AB547" i="1"/>
  <c r="AC547" i="1" s="1"/>
  <c r="AB799" i="1"/>
  <c r="AC799" i="1" s="1"/>
  <c r="AC827" i="1"/>
  <c r="AB853" i="1"/>
  <c r="AC853" i="1" s="1"/>
  <c r="AC912" i="1"/>
  <c r="AB947" i="1"/>
  <c r="AC947" i="1" s="1"/>
  <c r="AB1152" i="1"/>
  <c r="AC1152" i="1" s="1"/>
  <c r="AB1164" i="1"/>
  <c r="AB1218" i="1"/>
  <c r="AC1218" i="1" s="1"/>
  <c r="AB1282" i="1"/>
  <c r="AC1282" i="1" s="1"/>
  <c r="AB1290" i="1"/>
  <c r="AC1290" i="1" s="1"/>
  <c r="AB1435" i="1"/>
  <c r="AC1435" i="1" s="1"/>
  <c r="AB1460" i="1"/>
  <c r="AC1460" i="1" s="1"/>
  <c r="AB1500" i="1"/>
  <c r="AC1500" i="1" s="1"/>
  <c r="AB1506" i="1"/>
  <c r="AC1506" i="1" s="1"/>
  <c r="AB1516" i="1"/>
  <c r="AC1516" i="1" s="1"/>
  <c r="AB1568" i="1"/>
  <c r="AC1568" i="1" s="1"/>
  <c r="AB56" i="1"/>
  <c r="AC56" i="1" s="1"/>
  <c r="AB67" i="1"/>
  <c r="AC67" i="1" s="1"/>
  <c r="AB72" i="1"/>
  <c r="AC72" i="1" s="1"/>
  <c r="AB104" i="1"/>
  <c r="AC104" i="1" s="1"/>
  <c r="AB111" i="1"/>
  <c r="AC111" i="1" s="1"/>
  <c r="AB125" i="1"/>
  <c r="AC125" i="1" s="1"/>
  <c r="AB134" i="1"/>
  <c r="AC134" i="1" s="1"/>
  <c r="AB219" i="1"/>
  <c r="AC219" i="1" s="1"/>
  <c r="AB245" i="1"/>
  <c r="AC245" i="1" s="1"/>
  <c r="AB254" i="1"/>
  <c r="AC254" i="1" s="1"/>
  <c r="AB330" i="1"/>
  <c r="AC330" i="1" s="1"/>
  <c r="AB369" i="1"/>
  <c r="AC369" i="1" s="1"/>
  <c r="AB370" i="1"/>
  <c r="AC370" i="1" s="1"/>
  <c r="AB384" i="1"/>
  <c r="AC384" i="1" s="1"/>
  <c r="AB438" i="1"/>
  <c r="AC438" i="1" s="1"/>
  <c r="AB450" i="1"/>
  <c r="AC450" i="1" s="1"/>
  <c r="AB671" i="1"/>
  <c r="AC671" i="1" s="1"/>
  <c r="AB698" i="1"/>
  <c r="AC698" i="1" s="1"/>
  <c r="AB784" i="1"/>
  <c r="AB988" i="1"/>
  <c r="AB1109" i="1"/>
  <c r="AC1109" i="1" s="1"/>
  <c r="AB1256" i="1"/>
  <c r="AC1256" i="1" s="1"/>
  <c r="AB1271" i="1"/>
  <c r="AC1271" i="1" s="1"/>
  <c r="AB1288" i="1"/>
  <c r="AC1288" i="1" s="1"/>
  <c r="AB1300" i="1"/>
  <c r="AC1300" i="1" s="1"/>
  <c r="AB1365" i="1"/>
  <c r="AC1365" i="1" s="1"/>
  <c r="AB1472" i="1"/>
  <c r="AC1472" i="1" s="1"/>
  <c r="AB1513" i="1"/>
  <c r="AB1624" i="1"/>
  <c r="AB71" i="1"/>
  <c r="AB110" i="1"/>
  <c r="AC110" i="1" s="1"/>
  <c r="AB166" i="1"/>
  <c r="AC166" i="1" s="1"/>
  <c r="AB176" i="1"/>
  <c r="AC176" i="1" s="1"/>
  <c r="AB191" i="1"/>
  <c r="AC191" i="1" s="1"/>
  <c r="AB229" i="1"/>
  <c r="AC229" i="1" s="1"/>
  <c r="AB253" i="1"/>
  <c r="AC253" i="1" s="1"/>
  <c r="AB269" i="1"/>
  <c r="AB286" i="1"/>
  <c r="AC286" i="1" s="1"/>
  <c r="AB320" i="1"/>
  <c r="AC320" i="1" s="1"/>
  <c r="AB347" i="1"/>
  <c r="AC347" i="1" s="1"/>
  <c r="AB375" i="1"/>
  <c r="AC375" i="1" s="1"/>
  <c r="AB443" i="1"/>
  <c r="AC443" i="1" s="1"/>
  <c r="AB487" i="1"/>
  <c r="AC487" i="1" s="1"/>
  <c r="AB540" i="1"/>
  <c r="AC540" i="1" s="1"/>
  <c r="AB567" i="1"/>
  <c r="AC567" i="1" s="1"/>
  <c r="AB636" i="1"/>
  <c r="AC636" i="1" s="1"/>
  <c r="AB699" i="1"/>
  <c r="AC699" i="1" s="1"/>
  <c r="AB715" i="1"/>
  <c r="AB826" i="1"/>
  <c r="AC826" i="1" s="1"/>
  <c r="AB856" i="1"/>
  <c r="AC856" i="1" s="1"/>
  <c r="AB909" i="1"/>
  <c r="AC909" i="1" s="1"/>
  <c r="AB1076" i="1"/>
  <c r="AC1076" i="1" s="1"/>
  <c r="AB1197" i="1"/>
  <c r="AC1197" i="1" s="1"/>
  <c r="AB1201" i="1"/>
  <c r="AC1201" i="1" s="1"/>
  <c r="AB1279" i="1"/>
  <c r="AC1279" i="1" s="1"/>
  <c r="AB1495" i="1"/>
  <c r="AC1495" i="1" s="1"/>
  <c r="AB1679" i="1"/>
  <c r="AC1679" i="1" s="1"/>
  <c r="AB24" i="1"/>
  <c r="AC24" i="1" s="1"/>
  <c r="AB84" i="1"/>
  <c r="AC84" i="1" s="1"/>
  <c r="AB133" i="1"/>
  <c r="AC133" i="1" s="1"/>
  <c r="AB187" i="1"/>
  <c r="AC187" i="1" s="1"/>
  <c r="AB244" i="1"/>
  <c r="AC244" i="1" s="1"/>
  <c r="AB486" i="1"/>
  <c r="AC486" i="1" s="1"/>
  <c r="AB730" i="1"/>
  <c r="AC730" i="1" s="1"/>
  <c r="AB751" i="1"/>
  <c r="AB802" i="1"/>
  <c r="AC802" i="1" s="1"/>
  <c r="AB854" i="1"/>
  <c r="AC854" i="1" s="1"/>
  <c r="AC860" i="1"/>
  <c r="AC902" i="1"/>
  <c r="AB1119" i="1"/>
  <c r="AC1119" i="1" s="1"/>
  <c r="AB1126" i="1"/>
  <c r="AB1408" i="1"/>
  <c r="AC1408" i="1" s="1"/>
  <c r="AB1453" i="1"/>
  <c r="AC1453" i="1" s="1"/>
  <c r="AC1466" i="1"/>
  <c r="AB1525" i="1"/>
  <c r="AC1525" i="1" s="1"/>
  <c r="AB1528" i="1"/>
  <c r="AC1528" i="1" s="1"/>
  <c r="AB1535" i="1"/>
  <c r="AC1535" i="1" s="1"/>
  <c r="AB1550" i="1"/>
  <c r="AB29" i="1"/>
  <c r="AB168" i="1"/>
  <c r="AC168" i="1" s="1"/>
  <c r="AB265" i="1"/>
  <c r="AC265" i="1" s="1"/>
  <c r="AB292" i="1"/>
  <c r="AC292" i="1" s="1"/>
  <c r="AB296" i="1"/>
  <c r="AC296" i="1" s="1"/>
  <c r="AB348" i="1"/>
  <c r="AC348" i="1" s="1"/>
  <c r="AB351" i="1"/>
  <c r="AC351" i="1" s="1"/>
  <c r="AB425" i="1"/>
  <c r="AC425" i="1" s="1"/>
  <c r="AB549" i="1"/>
  <c r="AC549" i="1" s="1"/>
  <c r="AB616" i="1"/>
  <c r="AB666" i="1"/>
  <c r="AC666" i="1" s="1"/>
  <c r="AB738" i="1"/>
  <c r="AB781" i="1"/>
  <c r="AC781" i="1" s="1"/>
  <c r="AB785" i="1"/>
  <c r="AB821" i="1"/>
  <c r="AC821" i="1" s="1"/>
  <c r="AB851" i="1"/>
  <c r="AC851" i="1" s="1"/>
  <c r="AB862" i="1"/>
  <c r="AC862" i="1" s="1"/>
  <c r="AB891" i="1"/>
  <c r="AC891" i="1" s="1"/>
  <c r="AC993" i="1"/>
  <c r="AB1056" i="1"/>
  <c r="AC1056" i="1" s="1"/>
  <c r="AB1156" i="1"/>
  <c r="AC1156" i="1" s="1"/>
  <c r="AB1166" i="1"/>
  <c r="AC1166" i="1" s="1"/>
  <c r="AB1298" i="1"/>
  <c r="AC1298" i="1" s="1"/>
  <c r="AC1311" i="1"/>
  <c r="AB1354" i="1"/>
  <c r="AC1354" i="1" s="1"/>
  <c r="AB1474" i="1"/>
  <c r="AC1474" i="1" s="1"/>
  <c r="AB1502" i="1"/>
  <c r="AC1502" i="1" s="1"/>
  <c r="AC1543" i="1"/>
  <c r="AB1549" i="1"/>
  <c r="AC1549" i="1" s="1"/>
  <c r="AB139" i="1"/>
  <c r="AC139" i="1" s="1"/>
  <c r="AB407" i="1"/>
  <c r="AC407" i="1" s="1"/>
  <c r="AB554" i="1"/>
  <c r="AC554" i="1" s="1"/>
  <c r="AB564" i="1"/>
  <c r="AC564" i="1" s="1"/>
  <c r="AB650" i="1"/>
  <c r="AC650" i="1" s="1"/>
  <c r="AB772" i="1"/>
  <c r="AC772" i="1" s="1"/>
  <c r="AB844" i="1"/>
  <c r="AC844" i="1" s="1"/>
  <c r="AB967" i="1"/>
  <c r="AC967" i="1" s="1"/>
  <c r="AB1030" i="1"/>
  <c r="AC1030" i="1" s="1"/>
  <c r="AB1073" i="1"/>
  <c r="AC1073" i="1" s="1"/>
  <c r="AB1090" i="1"/>
  <c r="AC1090" i="1" s="1"/>
  <c r="AB1118" i="1"/>
  <c r="AC1118" i="1" s="1"/>
  <c r="AB1232" i="1"/>
  <c r="AC1232" i="1" s="1"/>
  <c r="AC1410" i="1"/>
  <c r="AB1557" i="1"/>
  <c r="AC1557" i="1" s="1"/>
  <c r="AB1565" i="1"/>
  <c r="AC1565" i="1" s="1"/>
  <c r="AB1676" i="1"/>
  <c r="AB151" i="1"/>
  <c r="AC151" i="1" s="1"/>
  <c r="AB359" i="1"/>
  <c r="AC359" i="1" s="1"/>
  <c r="AB440" i="1"/>
  <c r="AC440" i="1" s="1"/>
  <c r="AB471" i="1"/>
  <c r="AC471" i="1" s="1"/>
  <c r="AB505" i="1"/>
  <c r="AC505" i="1" s="1"/>
  <c r="AB512" i="1"/>
  <c r="AC512" i="1" s="1"/>
  <c r="AB545" i="1"/>
  <c r="AC545" i="1" s="1"/>
  <c r="AC700" i="1"/>
  <c r="AB729" i="1"/>
  <c r="AC729" i="1" s="1"/>
  <c r="AB752" i="1"/>
  <c r="AC752" i="1" s="1"/>
  <c r="AB795" i="1"/>
  <c r="AC795" i="1" s="1"/>
  <c r="AB1052" i="1"/>
  <c r="AC1052" i="1" s="1"/>
  <c r="AC1100" i="1"/>
  <c r="AC1234" i="1"/>
  <c r="AB1285" i="1"/>
  <c r="AC1285" i="1" s="1"/>
  <c r="AB1302" i="1"/>
  <c r="AC1302" i="1" s="1"/>
  <c r="AB1337" i="1"/>
  <c r="AC1337" i="1" s="1"/>
  <c r="AB1457" i="1"/>
  <c r="AC1457" i="1" s="1"/>
  <c r="AB1573" i="1"/>
  <c r="AB607" i="1"/>
  <c r="AC607" i="1" s="1"/>
  <c r="AB623" i="1"/>
  <c r="AC623" i="1" s="1"/>
  <c r="AB833" i="1"/>
  <c r="AC833" i="1" s="1"/>
  <c r="AB1002" i="1"/>
  <c r="AC1002" i="1" s="1"/>
  <c r="AB1372" i="1"/>
  <c r="AC1372" i="1" s="1"/>
  <c r="AB1476" i="1"/>
  <c r="AC1476" i="1" s="1"/>
  <c r="AB1561" i="1"/>
  <c r="AC1561" i="1" s="1"/>
  <c r="AB138" i="1"/>
  <c r="AC138" i="1" s="1"/>
  <c r="AB216" i="1"/>
  <c r="AC216" i="1" s="1"/>
  <c r="AB267" i="1"/>
  <c r="AC267" i="1" s="1"/>
  <c r="AB277" i="1"/>
  <c r="AC277" i="1" s="1"/>
  <c r="AB287" i="1"/>
  <c r="AC287" i="1" s="1"/>
  <c r="AB465" i="1"/>
  <c r="AC465" i="1" s="1"/>
  <c r="AB484" i="1"/>
  <c r="AC484" i="1" s="1"/>
  <c r="AB538" i="1"/>
  <c r="AC538" i="1" s="1"/>
  <c r="AB663" i="1"/>
  <c r="AC663" i="1" s="1"/>
  <c r="AB685" i="1"/>
  <c r="AC685" i="1" s="1"/>
  <c r="AB975" i="1"/>
  <c r="AC975" i="1" s="1"/>
  <c r="AB1183" i="1"/>
  <c r="AC1183" i="1" s="1"/>
  <c r="AC1245" i="1"/>
  <c r="AB1310" i="1"/>
  <c r="AC1310" i="1" s="1"/>
  <c r="AB1398" i="1"/>
  <c r="AC1398" i="1" s="1"/>
  <c r="AB1447" i="1"/>
  <c r="AC1447" i="1" s="1"/>
  <c r="AB172" i="1"/>
  <c r="AC172" i="1" s="1"/>
  <c r="AB356" i="1"/>
  <c r="AC356" i="1" s="1"/>
  <c r="AC536" i="1"/>
  <c r="AB560" i="1"/>
  <c r="AC560" i="1" s="1"/>
  <c r="AB708" i="1"/>
  <c r="AC708" i="1" s="1"/>
  <c r="AB720" i="1"/>
  <c r="AC720" i="1" s="1"/>
  <c r="AB773" i="1"/>
  <c r="AC773" i="1" s="1"/>
  <c r="AB1210" i="1"/>
  <c r="AC1210" i="1" s="1"/>
  <c r="AB1226" i="1"/>
  <c r="AC1226" i="1" s="1"/>
  <c r="AB1332" i="1"/>
  <c r="AC1332" i="1" s="1"/>
  <c r="AB1455" i="1"/>
  <c r="AC1455" i="1" s="1"/>
  <c r="AB1524" i="1"/>
  <c r="AC1524" i="1" s="1"/>
  <c r="AB1534" i="1"/>
  <c r="AC1534" i="1" s="1"/>
  <c r="AB295" i="1"/>
  <c r="AC295" i="1" s="1"/>
  <c r="AB434" i="1"/>
  <c r="AC434" i="1" s="1"/>
  <c r="AB439" i="1"/>
  <c r="AC439" i="1" s="1"/>
  <c r="AB601" i="1"/>
  <c r="AC601" i="1" s="1"/>
  <c r="AB613" i="1"/>
  <c r="AC613" i="1" s="1"/>
  <c r="AB642" i="1"/>
  <c r="AC642" i="1" s="1"/>
  <c r="AB718" i="1"/>
  <c r="AC718" i="1" s="1"/>
  <c r="AC834" i="1"/>
  <c r="AB968" i="1"/>
  <c r="AC968" i="1" s="1"/>
  <c r="AB1242" i="1"/>
  <c r="AC1242" i="1" s="1"/>
  <c r="AC1284" i="1"/>
  <c r="AB1295" i="1"/>
  <c r="AC1295" i="1" s="1"/>
  <c r="AB1336" i="1"/>
  <c r="AC1336" i="1" s="1"/>
  <c r="AB1462" i="1"/>
  <c r="AC1462" i="1" s="1"/>
  <c r="AB1556" i="1"/>
  <c r="AC1556" i="1" s="1"/>
  <c r="AB185" i="1"/>
  <c r="AC185" i="1" s="1"/>
  <c r="AB243" i="1"/>
  <c r="AC243" i="1" s="1"/>
  <c r="AB297" i="1"/>
  <c r="AC297" i="1" s="1"/>
  <c r="AB363" i="1"/>
  <c r="AC363" i="1" s="1"/>
  <c r="AB520" i="1"/>
  <c r="AC520" i="1" s="1"/>
  <c r="AB524" i="1"/>
  <c r="AC524" i="1" s="1"/>
  <c r="AB527" i="1"/>
  <c r="AC527" i="1" s="1"/>
  <c r="AB596" i="1"/>
  <c r="AC596" i="1" s="1"/>
  <c r="AB979" i="1"/>
  <c r="AC979" i="1" s="1"/>
  <c r="AB1236" i="1"/>
  <c r="AC1236" i="1" s="1"/>
  <c r="AB1425" i="1"/>
  <c r="AC1425" i="1" s="1"/>
  <c r="AB1490" i="1"/>
  <c r="AC1490" i="1" s="1"/>
  <c r="AB26" i="1"/>
  <c r="AC26" i="1" s="1"/>
  <c r="AB153" i="1"/>
  <c r="AC153" i="1" s="1"/>
  <c r="AB298" i="1"/>
  <c r="AC298" i="1" s="1"/>
  <c r="AB585" i="1"/>
  <c r="AC585" i="1" s="1"/>
  <c r="AB707" i="1"/>
  <c r="AC707" i="1" s="1"/>
  <c r="AB774" i="1"/>
  <c r="AC774" i="1" s="1"/>
  <c r="AB775" i="1"/>
  <c r="AC775" i="1" s="1"/>
  <c r="AB936" i="1"/>
  <c r="AC936" i="1" s="1"/>
  <c r="AB997" i="1"/>
  <c r="AC997" i="1" s="1"/>
  <c r="AB1035" i="1"/>
  <c r="AC1035" i="1" s="1"/>
  <c r="AB1105" i="1"/>
  <c r="AC1105" i="1" s="1"/>
  <c r="AB1195" i="1"/>
  <c r="AC1195" i="1" s="1"/>
  <c r="AB1209" i="1"/>
  <c r="AC1209" i="1" s="1"/>
  <c r="AB1353" i="1"/>
  <c r="AC1353" i="1" s="1"/>
  <c r="AB1391" i="1"/>
  <c r="AC1391" i="1" s="1"/>
  <c r="AB1392" i="1"/>
  <c r="AC1392" i="1" s="1"/>
  <c r="AB88" i="1"/>
  <c r="AB184" i="1"/>
  <c r="AC184" i="1" s="1"/>
  <c r="AB419" i="1"/>
  <c r="AC419" i="1" s="1"/>
  <c r="AB481" i="1"/>
  <c r="AC481" i="1" s="1"/>
  <c r="AB614" i="1"/>
  <c r="AC614" i="1" s="1"/>
  <c r="AB684" i="1"/>
  <c r="AC684" i="1" s="1"/>
  <c r="AB783" i="1"/>
  <c r="AB791" i="1"/>
  <c r="AC791" i="1" s="1"/>
  <c r="AB928" i="1"/>
  <c r="AC928" i="1" s="1"/>
  <c r="AB1008" i="1"/>
  <c r="AC1008" i="1" s="1"/>
  <c r="AB1051" i="1"/>
  <c r="AC1051" i="1" s="1"/>
  <c r="AB1094" i="1"/>
  <c r="AC1094" i="1" s="1"/>
  <c r="AB1299" i="1"/>
  <c r="AC1299" i="1" s="1"/>
  <c r="AB1344" i="1"/>
  <c r="AC1344" i="1" s="1"/>
  <c r="AB1346" i="1"/>
  <c r="AC1346" i="1" s="1"/>
  <c r="AB1389" i="1"/>
  <c r="AC1389" i="1" s="1"/>
  <c r="AB1440" i="1"/>
  <c r="AC1440" i="1" s="1"/>
  <c r="AB87" i="1"/>
  <c r="AC87" i="1" s="1"/>
  <c r="AB242" i="1"/>
  <c r="AC242" i="1" s="1"/>
  <c r="AB559" i="1"/>
  <c r="AC559" i="1" s="1"/>
  <c r="AB958" i="1"/>
  <c r="AC958" i="1" s="1"/>
  <c r="AB1006" i="1"/>
  <c r="AB1322" i="1"/>
  <c r="AC1322" i="1" s="1"/>
  <c r="AB1491" i="1"/>
  <c r="AC1491" i="1" s="1"/>
  <c r="AB389" i="1"/>
  <c r="AC389" i="1" s="1"/>
  <c r="AC556" i="1"/>
  <c r="AB595" i="1"/>
  <c r="AC595" i="1" s="1"/>
  <c r="AB949" i="1"/>
  <c r="AB950" i="1"/>
  <c r="AB1341" i="1"/>
  <c r="AB1386" i="1"/>
  <c r="AC1386" i="1" s="1"/>
  <c r="AC122" i="1"/>
  <c r="AB362" i="1"/>
  <c r="AC362" i="1" s="1"/>
  <c r="AB454" i="1"/>
  <c r="AC454" i="1" s="1"/>
  <c r="AB475" i="1"/>
  <c r="AC475" i="1" s="1"/>
  <c r="AB503" i="1"/>
  <c r="AC503" i="1" s="1"/>
  <c r="AB640" i="1"/>
  <c r="AC640" i="1" s="1"/>
  <c r="AB953" i="1"/>
  <c r="AB970" i="1"/>
  <c r="AB1328" i="1"/>
  <c r="AC1328" i="1" s="1"/>
  <c r="AB1335" i="1"/>
  <c r="AC1335" i="1" s="1"/>
  <c r="AB1569" i="1"/>
  <c r="AC1569" i="1" s="1"/>
  <c r="AB14" i="1"/>
  <c r="AC14" i="1" s="1"/>
  <c r="AB132" i="1"/>
  <c r="AC132" i="1" s="1"/>
  <c r="AB502" i="1"/>
  <c r="AC502" i="1" s="1"/>
  <c r="AB528" i="1"/>
  <c r="AC528" i="1" s="1"/>
  <c r="AB665" i="1"/>
  <c r="AC665" i="1" s="1"/>
  <c r="AB739" i="1"/>
  <c r="AC739" i="1" s="1"/>
  <c r="AB800" i="1"/>
  <c r="AC800" i="1" s="1"/>
  <c r="AB849" i="1"/>
  <c r="AC849" i="1" s="1"/>
  <c r="AB1211" i="1"/>
  <c r="AC1211" i="1" s="1"/>
  <c r="AB1316" i="1"/>
  <c r="AC1316" i="1" s="1"/>
  <c r="AB1380" i="1"/>
  <c r="AC1380" i="1" s="1"/>
  <c r="AB1469" i="1"/>
  <c r="AC1469" i="1" s="1"/>
  <c r="AB22" i="1"/>
  <c r="AC22" i="1" s="1"/>
  <c r="AB140" i="1"/>
  <c r="AC140" i="1" s="1"/>
  <c r="AC233" i="1"/>
  <c r="AB357" i="1"/>
  <c r="AC357" i="1" s="1"/>
  <c r="AB367" i="1"/>
  <c r="AC367" i="1" s="1"/>
  <c r="AB458" i="1"/>
  <c r="AC458" i="1" s="1"/>
  <c r="AB515" i="1"/>
  <c r="AC515" i="1" s="1"/>
  <c r="AC555" i="1"/>
  <c r="AB652" i="1"/>
  <c r="AC652" i="1" s="1"/>
  <c r="AB976" i="1"/>
  <c r="AC976" i="1" s="1"/>
  <c r="AB1023" i="1"/>
  <c r="AC1023" i="1" s="1"/>
  <c r="AB1028" i="1"/>
  <c r="AC1028" i="1" s="1"/>
  <c r="AB1049" i="1"/>
  <c r="AC1049" i="1" s="1"/>
  <c r="AB1444" i="1"/>
  <c r="AC1444" i="1" s="1"/>
  <c r="AB328" i="1"/>
  <c r="AC328" i="1" s="1"/>
  <c r="AB569" i="1"/>
  <c r="AC569" i="1" s="1"/>
  <c r="AB920" i="1"/>
  <c r="AC920" i="1" s="1"/>
  <c r="AB1468" i="1"/>
  <c r="AC1468" i="1" s="1"/>
  <c r="AB1498" i="1"/>
  <c r="AC1498" i="1" s="1"/>
  <c r="AB20" i="1"/>
  <c r="AC20" i="1" s="1"/>
  <c r="AB23" i="1"/>
  <c r="AC23" i="1" s="1"/>
  <c r="AB62" i="1"/>
  <c r="AB358" i="1"/>
  <c r="AC358" i="1" s="1"/>
  <c r="AB453" i="1"/>
  <c r="AC453" i="1" s="1"/>
  <c r="AB1026" i="1"/>
  <c r="AC1026" i="1" s="1"/>
  <c r="AB1095" i="1"/>
  <c r="AB1248" i="1"/>
  <c r="AC1248" i="1" s="1"/>
  <c r="AB1403" i="1"/>
  <c r="AC1403" i="1" s="1"/>
  <c r="AB1489" i="1"/>
  <c r="AC1489" i="1" s="1"/>
  <c r="AB1515" i="1"/>
  <c r="AB171" i="1"/>
  <c r="AC171" i="1" s="1"/>
  <c r="AB213" i="1"/>
  <c r="AC213" i="1" s="1"/>
  <c r="AB232" i="1"/>
  <c r="AC232" i="1" s="1"/>
  <c r="AB385" i="1"/>
  <c r="AC385" i="1" s="1"/>
  <c r="AB456" i="1"/>
  <c r="AC456" i="1" s="1"/>
  <c r="AB548" i="1"/>
  <c r="AC548" i="1" s="1"/>
  <c r="AB943" i="1"/>
  <c r="AC943" i="1" s="1"/>
  <c r="AB1071" i="1"/>
  <c r="AC1071" i="1" s="1"/>
  <c r="AB1155" i="1"/>
  <c r="AC1155" i="1" s="1"/>
  <c r="AB1456" i="1"/>
  <c r="AC1456" i="1" s="1"/>
  <c r="AB680" i="1"/>
  <c r="AC680" i="1" s="1"/>
  <c r="AB754" i="1"/>
  <c r="AC754" i="1" s="1"/>
  <c r="AB872" i="1"/>
  <c r="AC872" i="1" s="1"/>
  <c r="AB908" i="1"/>
  <c r="AC908" i="1" s="1"/>
  <c r="AB1044" i="1"/>
  <c r="AB1227" i="1"/>
  <c r="AC1227" i="1" s="1"/>
  <c r="AB1439" i="1"/>
  <c r="AC1439" i="1" s="1"/>
  <c r="AB162" i="1"/>
  <c r="AC162" i="1" s="1"/>
  <c r="AB317" i="1"/>
  <c r="AB455" i="1"/>
  <c r="AC455" i="1" s="1"/>
  <c r="AB482" i="1"/>
  <c r="AC482" i="1" s="1"/>
  <c r="AB907" i="1"/>
  <c r="AC907" i="1" s="1"/>
  <c r="AB913" i="1"/>
  <c r="AC913" i="1" s="1"/>
  <c r="AB113" i="1"/>
  <c r="AB392" i="1"/>
  <c r="AC392" i="1" s="1"/>
  <c r="AB400" i="1"/>
  <c r="AC400" i="1" s="1"/>
  <c r="AB918" i="1"/>
  <c r="AC918" i="1" s="1"/>
  <c r="AB960" i="1"/>
  <c r="AC960" i="1" s="1"/>
  <c r="AB1554" i="1"/>
  <c r="AC1554" i="1" s="1"/>
  <c r="AB6" i="1"/>
  <c r="AC6" i="1" s="1"/>
  <c r="AB21" i="1"/>
  <c r="AC21" i="1" s="1"/>
  <c r="AB611" i="1"/>
  <c r="AC611" i="1" s="1"/>
  <c r="AB1112" i="1"/>
  <c r="AC1112" i="1" s="1"/>
  <c r="AB1224" i="1"/>
  <c r="AB566" i="1"/>
  <c r="AC566" i="1" s="1"/>
  <c r="AB606" i="1"/>
  <c r="AC606" i="1" s="1"/>
  <c r="AB75" i="1"/>
  <c r="AC75" i="1" s="1"/>
  <c r="AB341" i="1"/>
  <c r="AC341" i="1" s="1"/>
  <c r="AB526" i="1"/>
  <c r="AC526" i="1" s="1"/>
  <c r="AB1179" i="1"/>
  <c r="AC1179" i="1" s="1"/>
  <c r="AB1390" i="1"/>
  <c r="AC1390" i="1" s="1"/>
  <c r="AB737" i="1"/>
  <c r="AC737" i="1" s="1"/>
  <c r="AB771" i="1"/>
  <c r="AC771" i="1" s="1"/>
  <c r="AB1012" i="1"/>
  <c r="AC1012" i="1" s="1"/>
  <c r="AC709" i="1"/>
  <c r="AB813" i="1"/>
  <c r="AC813" i="1" s="1"/>
  <c r="AB1570" i="1"/>
  <c r="AC1570" i="1" s="1"/>
  <c r="AB13" i="1"/>
  <c r="AC13" i="1" s="1"/>
  <c r="AB17" i="1"/>
  <c r="AC17" i="1" s="1"/>
  <c r="AB504" i="1"/>
  <c r="AC504" i="1" s="1"/>
  <c r="AB850" i="1"/>
  <c r="AC850" i="1" s="1"/>
  <c r="AB1022" i="1"/>
  <c r="AC1022" i="1" s="1"/>
  <c r="AB1024" i="1"/>
  <c r="AC1024" i="1" s="1"/>
  <c r="AB1477" i="1"/>
  <c r="AC1477" i="1" s="1"/>
  <c r="AB163" i="1"/>
  <c r="AC163" i="1" s="1"/>
  <c r="AB1291" i="1"/>
  <c r="AC1291" i="1" s="1"/>
  <c r="AB1471" i="1"/>
  <c r="AC1471" i="1" s="1"/>
  <c r="AB18" i="1"/>
  <c r="AC18" i="1" s="1"/>
  <c r="AB1110" i="1"/>
  <c r="AC1110" i="1" s="1"/>
  <c r="AB1494" i="1"/>
  <c r="AC1494" i="1" s="1"/>
  <c r="AB1331" i="1"/>
  <c r="AC1331" i="1" s="1"/>
  <c r="AB212" i="1"/>
  <c r="AC212" i="1" s="1"/>
  <c r="AB681" i="1"/>
  <c r="AC681" i="1" s="1"/>
  <c r="AB1001" i="1"/>
  <c r="AC1001" i="1" s="1"/>
  <c r="AB1497" i="1"/>
  <c r="AC1497" i="1" s="1"/>
  <c r="AB183" i="1"/>
  <c r="AC183" i="1" s="1"/>
  <c r="AB525" i="1"/>
  <c r="AC525" i="1" s="1"/>
  <c r="AB966" i="1"/>
  <c r="AC966" i="1" s="1"/>
  <c r="AB1367" i="1"/>
  <c r="AC1367" i="1" s="1"/>
  <c r="AB1371" i="1"/>
  <c r="AC1371" i="1" s="1"/>
  <c r="AB16" i="1"/>
  <c r="AC16" i="1" s="1"/>
  <c r="AB131" i="1"/>
  <c r="AC131" i="1" s="1"/>
  <c r="AB19" i="1"/>
  <c r="AC19" i="1" s="1"/>
  <c r="AB214" i="1"/>
  <c r="AC214" i="1" s="1"/>
  <c r="AB130" i="1"/>
  <c r="AC130" i="1" s="1"/>
  <c r="AB11" i="1"/>
  <c r="AC11" i="1" s="1"/>
  <c r="AB181" i="1"/>
  <c r="AC181" i="1" s="1"/>
  <c r="AB1445" i="1"/>
  <c r="AC1445" i="1" s="1"/>
  <c r="AB553" i="1"/>
  <c r="AC553" i="1" s="1"/>
  <c r="AB1241" i="1"/>
  <c r="AC1241" i="1" s="1"/>
  <c r="AB1362" i="1"/>
  <c r="AC1362" i="1" s="1"/>
  <c r="AB467" i="1"/>
  <c r="AC467" i="1" s="1"/>
  <c r="AB683" i="1"/>
  <c r="AC683" i="1" s="1"/>
  <c r="AB1555" i="1"/>
  <c r="AC1555" i="1" s="1"/>
  <c r="AB250" i="1"/>
  <c r="AC250" i="1" s="1"/>
  <c r="AB366" i="1"/>
  <c r="AC366" i="1" s="1"/>
  <c r="AB570" i="1"/>
  <c r="AC570" i="1" s="1"/>
  <c r="AB736" i="1"/>
  <c r="AC736" i="1" s="1"/>
  <c r="AB1188" i="1"/>
  <c r="AC1188" i="1" s="1"/>
  <c r="AB1196" i="1"/>
  <c r="AC1196" i="1" s="1"/>
  <c r="AB1000" i="1"/>
  <c r="AC1000" i="1" s="1"/>
  <c r="AB1562" i="1"/>
  <c r="AB625" i="1"/>
  <c r="AC625" i="1" s="1"/>
  <c r="AB511" i="1"/>
  <c r="AC511" i="1" s="1"/>
  <c r="AB717" i="1"/>
  <c r="AC717" i="1" s="1"/>
  <c r="AB1326" i="1"/>
  <c r="AC1326" i="1" s="1"/>
  <c r="AB182" i="1"/>
  <c r="AC182" i="1" s="1"/>
  <c r="AB552" i="1"/>
  <c r="AC552" i="1" s="1"/>
  <c r="AB921" i="1"/>
  <c r="AC921" i="1" s="1"/>
  <c r="AB1021" i="1"/>
  <c r="AC1021" i="1" s="1"/>
  <c r="AC1088" i="1"/>
  <c r="AB1691" i="1"/>
  <c r="AC1691" i="1" s="1"/>
  <c r="AB408" i="1"/>
  <c r="AC408" i="1" s="1"/>
  <c r="AB1327" i="1"/>
  <c r="AC1327" i="1" s="1"/>
  <c r="AB175" i="1"/>
  <c r="AC175" i="1" s="1"/>
  <c r="AB469" i="1"/>
  <c r="AC469" i="1" s="1"/>
  <c r="AB1599" i="1"/>
  <c r="AC1599" i="1" s="1"/>
  <c r="AB231" i="1"/>
  <c r="AC231" i="1" s="1"/>
  <c r="AB798" i="1"/>
  <c r="AC798" i="1" s="1"/>
  <c r="AB1050" i="1"/>
  <c r="AC1050" i="1" s="1"/>
  <c r="AB240" i="1"/>
  <c r="AC240" i="1" s="1"/>
  <c r="AB343" i="1"/>
  <c r="AC343" i="1" s="1"/>
  <c r="AB812" i="1"/>
  <c r="AC812" i="1" s="1"/>
  <c r="AB1099" i="1"/>
  <c r="AC1099" i="1" s="1"/>
  <c r="AB1292" i="1"/>
  <c r="AC1292" i="1" s="1"/>
  <c r="AB1533" i="1"/>
  <c r="AC1533" i="1" s="1"/>
  <c r="AB764" i="1"/>
  <c r="AC764" i="1" s="1"/>
  <c r="AB1379" i="1"/>
  <c r="AC1379" i="1" s="1"/>
  <c r="AB649" i="1"/>
  <c r="AC649" i="1" s="1"/>
  <c r="AB1036" i="1"/>
  <c r="AC1036" i="1" s="1"/>
  <c r="AB904" i="1"/>
  <c r="AC904" i="1" s="1"/>
  <c r="AB1016" i="1"/>
  <c r="AC1016" i="1" s="1"/>
  <c r="AB1154" i="1"/>
  <c r="AC1154" i="1" s="1"/>
  <c r="AB365" i="1"/>
  <c r="AC365" i="1" s="1"/>
  <c r="AB875" i="1"/>
  <c r="AC875" i="1" s="1"/>
  <c r="AB659" i="1"/>
  <c r="AC659" i="1" s="1"/>
  <c r="AB1317" i="1"/>
  <c r="AC1317" i="1" s="1"/>
  <c r="AB863" i="1"/>
  <c r="AC863" i="1" s="1"/>
  <c r="AB12" i="1"/>
  <c r="AC12" i="1" s="1"/>
  <c r="AB344" i="1"/>
  <c r="AC344" i="1" s="1"/>
  <c r="AB430" i="1"/>
  <c r="AC430" i="1" s="1"/>
  <c r="AB959" i="1"/>
  <c r="AC959" i="1" s="1"/>
  <c r="AB1043" i="1"/>
  <c r="AC1043" i="1" s="1"/>
  <c r="AB30" i="1"/>
  <c r="AC30" i="1" s="1"/>
  <c r="AB299" i="1"/>
  <c r="AC299" i="1" s="1"/>
  <c r="AB15" i="1"/>
  <c r="AC15" i="1" s="1"/>
  <c r="AB144" i="1"/>
  <c r="AC144" i="1" s="1"/>
  <c r="AB516" i="1"/>
  <c r="AC516" i="1" s="1"/>
  <c r="AB507" i="1"/>
  <c r="AC507" i="1" s="1"/>
  <c r="AB7" i="1"/>
  <c r="AC7" i="1" s="1"/>
  <c r="AB658" i="1"/>
  <c r="AC658" i="1" s="1"/>
  <c r="AB648" i="1"/>
  <c r="AC648" i="1" s="1"/>
  <c r="AB145" i="1"/>
  <c r="AC145" i="1" s="1"/>
  <c r="AC449" i="1"/>
  <c r="AB494" i="1"/>
  <c r="AC494" i="1" s="1"/>
  <c r="AB571" i="1"/>
  <c r="AC571" i="1" s="1"/>
  <c r="AB753" i="1"/>
  <c r="AC753" i="1" s="1"/>
  <c r="AB1172" i="1"/>
  <c r="AC1172" i="1" s="1"/>
  <c r="AB473" i="1"/>
  <c r="AC473" i="1" s="1"/>
  <c r="AB1547" i="1"/>
  <c r="AC1547" i="1" s="1"/>
  <c r="AB457" i="1"/>
  <c r="AC457" i="1" s="1"/>
  <c r="AB1347" i="1"/>
  <c r="AC1347" i="1" s="1"/>
  <c r="AB1603" i="1"/>
  <c r="AC1603" i="1" s="1"/>
  <c r="AB429" i="1"/>
  <c r="AC429" i="1" s="1"/>
  <c r="AB1037" i="1"/>
  <c r="AC1037" i="1" s="1"/>
  <c r="AB1592" i="1"/>
  <c r="AC1592" i="1" s="1"/>
  <c r="AB4" i="1"/>
  <c r="AC4" i="1" s="1"/>
  <c r="AB660" i="1"/>
  <c r="AC660" i="1" s="1"/>
  <c r="AB1600" i="1"/>
  <c r="AC1600" i="1" s="1"/>
  <c r="AB1047" i="1"/>
  <c r="AC1047" i="1" s="1"/>
  <c r="AB1345" i="1"/>
  <c r="AC1345" i="1" s="1"/>
  <c r="AB10" i="1"/>
  <c r="AC10" i="1" s="1"/>
  <c r="AB517" i="1"/>
  <c r="AC517" i="1" s="1"/>
  <c r="AB811" i="1"/>
  <c r="AC811" i="1" s="1"/>
  <c r="AB1320" i="1"/>
  <c r="AC1320" i="1" s="1"/>
  <c r="AB5" i="1"/>
  <c r="AC5" i="1" s="1"/>
  <c r="AB1399" i="1"/>
  <c r="AC1399" i="1" s="1"/>
  <c r="AB9" i="1"/>
  <c r="AC9" i="1" s="1"/>
  <c r="AB1194" i="1"/>
  <c r="AC1194" i="1" s="1"/>
  <c r="AB572" i="1"/>
  <c r="AC572" i="1" s="1"/>
  <c r="AB661" i="1"/>
  <c r="AC661" i="1" s="1"/>
  <c r="AB1066" i="1"/>
  <c r="AB248" i="1"/>
  <c r="AC248" i="1" s="1"/>
  <c r="AB810" i="1"/>
  <c r="AC810" i="1" s="1"/>
  <c r="AB1065" i="1"/>
  <c r="AB1588" i="1"/>
  <c r="AC1588" i="1" s="1"/>
  <c r="AB558" i="1"/>
  <c r="AC558" i="1" s="1"/>
  <c r="AB965" i="1"/>
  <c r="AC965" i="1" s="1"/>
  <c r="AB1306" i="1"/>
  <c r="AC1306" i="1" s="1"/>
  <c r="AB346" i="1"/>
  <c r="AC346" i="1" s="1"/>
  <c r="AB916" i="1"/>
  <c r="AC916" i="1" s="1"/>
  <c r="AB238" i="1"/>
  <c r="AC238" i="1" s="1"/>
  <c r="AB1055" i="1"/>
  <c r="AC1055" i="1" s="1"/>
  <c r="AB378" i="1"/>
  <c r="AC378" i="1" s="1"/>
  <c r="AB745" i="1"/>
  <c r="AC745" i="1" s="1"/>
  <c r="AB380" i="1"/>
  <c r="AC380" i="1" s="1"/>
  <c r="AB47" i="1"/>
  <c r="AC47" i="1" s="1"/>
  <c r="AB869" i="1"/>
  <c r="AB308" i="1"/>
  <c r="AC308" i="1" s="1"/>
  <c r="AB283" i="1"/>
  <c r="AC283" i="1" s="1"/>
  <c r="AB1606" i="1"/>
  <c r="AC1606" i="1" s="1"/>
  <c r="AB1630" i="1"/>
  <c r="AC1630" i="1" s="1"/>
  <c r="AB335" i="1"/>
  <c r="AB336" i="1"/>
  <c r="AB342" i="1"/>
  <c r="AC342" i="1" s="1"/>
  <c r="AB338" i="1"/>
  <c r="AC338" i="1" s="1"/>
  <c r="AB329" i="1"/>
  <c r="AC329" i="1" s="1"/>
  <c r="AB1181" i="1"/>
  <c r="AC1181" i="1" s="1"/>
  <c r="AB340" i="1"/>
  <c r="AC340" i="1" s="1"/>
  <c r="AB886" i="1"/>
  <c r="AC886" i="1" s="1"/>
  <c r="AB917" i="1"/>
  <c r="AC917" i="1" s="1"/>
  <c r="AB657" i="1"/>
  <c r="AB309" i="1"/>
  <c r="AC309" i="1" s="1"/>
  <c r="AB804" i="1"/>
  <c r="AC804" i="1" s="1"/>
  <c r="AB1492" i="1"/>
  <c r="AC1492" i="1" s="1"/>
  <c r="AB1083" i="1"/>
  <c r="AC1083" i="1" s="1"/>
  <c r="AB1082" i="1"/>
  <c r="AC1082" i="1" s="1"/>
  <c r="AB893" i="1"/>
  <c r="AC893" i="1" s="1"/>
  <c r="AB594" i="1"/>
  <c r="AC594" i="1" s="1"/>
  <c r="AB817" i="1"/>
  <c r="AC817" i="1" s="1"/>
  <c r="AB1473" i="1"/>
  <c r="AC1473" i="1" s="1"/>
  <c r="AB899" i="1"/>
  <c r="AC899" i="1" s="1"/>
  <c r="AB1289" i="1"/>
  <c r="AC1289" i="1" s="1"/>
  <c r="AB1480" i="1"/>
  <c r="AC1480" i="1" s="1"/>
  <c r="AB1387" i="1"/>
  <c r="AC1387" i="1" s="1"/>
  <c r="AB1470" i="1"/>
  <c r="AC1470" i="1" s="1"/>
  <c r="AB1443" i="1"/>
  <c r="AC1443" i="1" s="1"/>
  <c r="AC858" i="1"/>
  <c r="AB823" i="1"/>
  <c r="AC823" i="1" s="1"/>
  <c r="AB1404" i="1"/>
  <c r="AC1404" i="1" s="1"/>
  <c r="AB137" i="1"/>
  <c r="AC137" i="1" s="1"/>
  <c r="AB1448" i="1"/>
  <c r="AC1448" i="1" s="1"/>
  <c r="AB1304" i="1"/>
  <c r="AC1304" i="1" s="1"/>
  <c r="AB1484" i="1"/>
  <c r="AC1484" i="1" s="1"/>
  <c r="AB1596" i="1"/>
  <c r="AC1596" i="1" s="1"/>
  <c r="AB1593" i="1"/>
  <c r="AC1593" i="1" s="1"/>
  <c r="AB841" i="1"/>
  <c r="AC841" i="1" s="1"/>
  <c r="AB1617" i="1"/>
  <c r="AC1617" i="1" s="1"/>
  <c r="AB1079" i="1"/>
  <c r="AC1079" i="1" s="1"/>
  <c r="AB355" i="1"/>
  <c r="AC355" i="1" s="1"/>
  <c r="AB39" i="1"/>
  <c r="AC39" i="1" s="1"/>
  <c r="AB840" i="1"/>
  <c r="AC840" i="1" s="1"/>
  <c r="AB1309" i="1"/>
  <c r="AC1309" i="1" s="1"/>
  <c r="AB1450" i="1"/>
  <c r="AC1450" i="1" s="1"/>
  <c r="AB1614" i="1"/>
  <c r="AC1614" i="1" s="1"/>
  <c r="AB818" i="1"/>
  <c r="AC818" i="1" s="1"/>
  <c r="AB1432" i="1"/>
  <c r="AC1432" i="1" s="1"/>
  <c r="AB1277" i="1"/>
  <c r="AC1277" i="1" s="1"/>
  <c r="AB1315" i="1"/>
  <c r="AC1315" i="1" s="1"/>
  <c r="AB677" i="1"/>
  <c r="AC677" i="1" s="1"/>
  <c r="AB156" i="1"/>
  <c r="AC156" i="1" s="1"/>
  <c r="AB1434" i="1"/>
  <c r="AC1434" i="1" s="1"/>
  <c r="AB135" i="1"/>
  <c r="AC135" i="1" s="1"/>
  <c r="AB809" i="1"/>
  <c r="AC809" i="1" s="1"/>
  <c r="AB374" i="1"/>
  <c r="AB808" i="1"/>
  <c r="AC808" i="1" s="1"/>
  <c r="AB721" i="1"/>
  <c r="AC721" i="1" s="1"/>
  <c r="AB1583" i="1"/>
  <c r="AC1583" i="1" s="1"/>
  <c r="AB1308" i="1"/>
  <c r="AC1308" i="1" s="1"/>
  <c r="AB651" i="1"/>
  <c r="AC651" i="1" s="1"/>
  <c r="AB207" i="1"/>
  <c r="AC207" i="1" s="1"/>
  <c r="AB930" i="1"/>
  <c r="AC930" i="1" s="1"/>
  <c r="AB272" i="1"/>
  <c r="AC272" i="1" s="1"/>
  <c r="AB1192" i="1"/>
  <c r="AC1192" i="1" s="1"/>
  <c r="AB180" i="1"/>
  <c r="AC180" i="1" s="1"/>
  <c r="AB1589" i="1"/>
  <c r="AC1589" i="1" s="1"/>
  <c r="AB1481" i="1"/>
  <c r="AC1481" i="1" s="1"/>
  <c r="AB1615" i="1"/>
  <c r="AC1615" i="1" s="1"/>
  <c r="AB230" i="1"/>
  <c r="AC230" i="1" s="1"/>
  <c r="AB1314" i="1"/>
  <c r="AC1314" i="1" s="1"/>
  <c r="AB866" i="1"/>
  <c r="AC866" i="1" s="1"/>
  <c r="AB1358" i="1"/>
  <c r="AC1358" i="1" s="1"/>
  <c r="AB401" i="1"/>
  <c r="AC401" i="1" s="1"/>
  <c r="AB1451" i="1"/>
  <c r="AC1451" i="1" s="1"/>
  <c r="AB1587" i="1"/>
  <c r="AC1587" i="1" s="1"/>
  <c r="AB208" i="1"/>
  <c r="AC208" i="1" s="1"/>
  <c r="AB885" i="1"/>
  <c r="AC885" i="1" s="1"/>
  <c r="AB1064" i="1"/>
  <c r="AC1064" i="1" s="1"/>
  <c r="AB915" i="1"/>
  <c r="AC915" i="1" s="1"/>
  <c r="AB1189" i="1"/>
  <c r="AC1189" i="1" s="1"/>
  <c r="AB1590" i="1"/>
  <c r="AC1590" i="1" s="1"/>
  <c r="AB1149" i="1"/>
  <c r="AC1149" i="1" s="1"/>
  <c r="AB1542" i="1"/>
  <c r="AC1542" i="1" s="1"/>
  <c r="AB940" i="1"/>
  <c r="AC940" i="1" s="1"/>
  <c r="AB710" i="1"/>
  <c r="AC710" i="1" s="1"/>
  <c r="AB1553" i="1"/>
  <c r="AB1566" i="1"/>
  <c r="AC1566" i="1" s="1"/>
  <c r="AB593" i="1"/>
  <c r="AC593" i="1" s="1"/>
  <c r="AB1546" i="1"/>
  <c r="AC1546" i="1" s="1"/>
  <c r="AB889" i="1"/>
  <c r="AC889" i="1" s="1"/>
  <c r="AB706" i="1"/>
  <c r="AC706" i="1" s="1"/>
  <c r="AB1040" i="1"/>
  <c r="AC1040" i="1" s="1"/>
  <c r="AB1260" i="1"/>
  <c r="AC1260" i="1" s="1"/>
  <c r="AB1416" i="1"/>
  <c r="AC1416" i="1" s="1"/>
  <c r="AB495" i="1"/>
  <c r="AC495" i="1" s="1"/>
  <c r="AB523" i="1"/>
  <c r="AC523" i="1" s="1"/>
  <c r="AC1254" i="1"/>
  <c r="AB1229" i="1"/>
  <c r="AC1229" i="1" s="1"/>
  <c r="AB740" i="1"/>
  <c r="AC740" i="1" s="1"/>
  <c r="AB682" i="1"/>
  <c r="AC682" i="1" s="1"/>
  <c r="AB1479" i="1"/>
  <c r="AC1479" i="1" s="1"/>
  <c r="AB662" i="1"/>
  <c r="AC662" i="1" s="1"/>
  <c r="AB634" i="1"/>
  <c r="AC634" i="1" s="1"/>
  <c r="AB436" i="1"/>
  <c r="AC436" i="1" s="1"/>
  <c r="AB892" i="1"/>
  <c r="AC892" i="1" s="1"/>
  <c r="AB189" i="1"/>
  <c r="AC189" i="1" s="1"/>
  <c r="AB1240" i="1"/>
  <c r="AC1240" i="1" s="1"/>
  <c r="AB1580" i="1"/>
  <c r="AC1580" i="1" s="1"/>
  <c r="AB522" i="1"/>
  <c r="AC522" i="1" s="1"/>
  <c r="AB1198" i="1"/>
  <c r="AC1198" i="1" s="1"/>
  <c r="AB1283" i="1"/>
  <c r="AC1283" i="1" s="1"/>
  <c r="AB128" i="1"/>
  <c r="AC128" i="1" s="1"/>
  <c r="AB1436" i="1"/>
  <c r="AC1436" i="1" s="1"/>
  <c r="AB1255" i="1"/>
  <c r="AC1255" i="1" s="1"/>
  <c r="AB521" i="1"/>
  <c r="AC521" i="1" s="1"/>
  <c r="AB735" i="1"/>
  <c r="AC735" i="1" s="1"/>
  <c r="AB1501" i="1"/>
  <c r="AC1501" i="1" s="1"/>
  <c r="AB919" i="1"/>
  <c r="AC919" i="1" s="1"/>
  <c r="AB1415" i="1"/>
  <c r="AC1415" i="1" s="1"/>
  <c r="AB251" i="1"/>
  <c r="AC251" i="1" s="1"/>
  <c r="AB768" i="1"/>
  <c r="AC768" i="1" s="1"/>
  <c r="AB1199" i="1"/>
  <c r="AC1199" i="1" s="1"/>
  <c r="AB1319" i="1"/>
  <c r="AC1319" i="1" s="1"/>
  <c r="AB119" i="1"/>
  <c r="AC119" i="1" s="1"/>
  <c r="AB431" i="1"/>
  <c r="AB1200" i="1"/>
  <c r="AC1200" i="1" s="1"/>
  <c r="AB1217" i="1"/>
  <c r="AC1217" i="1" s="1"/>
  <c r="AB1536" i="1"/>
  <c r="AC1536" i="1" s="1"/>
  <c r="AB262" i="1"/>
  <c r="AC262" i="1" s="1"/>
  <c r="AB1563" i="1"/>
  <c r="AC1563" i="1" s="1"/>
  <c r="AB1393" i="1"/>
  <c r="AC1393" i="1" s="1"/>
  <c r="AB247" i="1"/>
  <c r="AC247" i="1" s="1"/>
  <c r="AB259" i="1"/>
  <c r="AC259" i="1" s="1"/>
  <c r="AB485" i="1"/>
  <c r="AC485" i="1" s="1"/>
  <c r="AB1062" i="1"/>
  <c r="AC1062" i="1" s="1"/>
  <c r="AB1454" i="1"/>
  <c r="AC1454" i="1" s="1"/>
  <c r="AB108" i="1"/>
  <c r="AB1276" i="1"/>
  <c r="AC1276" i="1" s="1"/>
  <c r="AB615" i="1"/>
  <c r="AC615" i="1" s="1"/>
  <c r="AB1184" i="1"/>
  <c r="AC1184" i="1" s="1"/>
  <c r="AB769" i="1"/>
  <c r="AC769" i="1" s="1"/>
  <c r="AB70" i="1"/>
  <c r="AC70" i="1" s="1"/>
  <c r="AB631" i="1"/>
  <c r="AC631" i="1" s="1"/>
  <c r="AB1529" i="1"/>
  <c r="AC1529" i="1" s="1"/>
  <c r="AB777" i="1"/>
  <c r="AC777" i="1" s="1"/>
  <c r="AB147" i="1"/>
  <c r="AC147" i="1" s="1"/>
  <c r="AB388" i="1"/>
  <c r="AC388" i="1" s="1"/>
  <c r="AB237" i="1"/>
  <c r="AC237" i="1" s="1"/>
  <c r="AB901" i="1"/>
  <c r="AC901" i="1" s="1"/>
  <c r="AB1297" i="1"/>
  <c r="AC1297" i="1" s="1"/>
  <c r="AB687" i="1"/>
  <c r="AC687" i="1" s="1"/>
  <c r="AB1666" i="1"/>
  <c r="AC1666" i="1" s="1"/>
  <c r="AB241" i="1"/>
  <c r="AC241" i="1" s="1"/>
  <c r="AB1368" i="1"/>
  <c r="AC1368" i="1" s="1"/>
  <c r="AB155" i="1"/>
  <c r="AC155" i="1" s="1"/>
  <c r="AB249" i="1"/>
  <c r="AC249" i="1" s="1"/>
  <c r="AB324" i="1"/>
  <c r="AC324" i="1" s="1"/>
  <c r="AB1228" i="1"/>
  <c r="AC1228" i="1" s="1"/>
  <c r="AB654" i="1"/>
  <c r="AC654" i="1" s="1"/>
  <c r="AB1601" i="1"/>
  <c r="AC1601" i="1" s="1"/>
  <c r="AB635" i="1"/>
  <c r="AC635" i="1" s="1"/>
  <c r="AB1158" i="1"/>
  <c r="AC1158" i="1" s="1"/>
  <c r="AB1544" i="1"/>
  <c r="AC1544" i="1" s="1"/>
  <c r="AB723" i="1"/>
  <c r="AC723" i="1" s="1"/>
  <c r="AB508" i="1"/>
  <c r="AC508" i="1" s="1"/>
  <c r="AB373" i="1"/>
  <c r="AC373" i="1" s="1"/>
  <c r="AB815" i="1"/>
  <c r="AC815" i="1" s="1"/>
  <c r="AC1265" i="1"/>
  <c r="AB888" i="1"/>
  <c r="AC888" i="1" s="1"/>
  <c r="AB911" i="1"/>
  <c r="AC911" i="1" s="1"/>
  <c r="AB466" i="1"/>
  <c r="AC466" i="1" s="1"/>
  <c r="AB1414" i="1"/>
  <c r="AC1414" i="1" s="1"/>
  <c r="AB1017" i="1"/>
  <c r="AC1017" i="1" s="1"/>
  <c r="AB1134" i="1"/>
  <c r="AC1134" i="1" s="1"/>
  <c r="AB203" i="1"/>
  <c r="AC203" i="1" s="1"/>
  <c r="AB931" i="1"/>
  <c r="AC931" i="1" s="1"/>
  <c r="AB260" i="1"/>
  <c r="AC260" i="1" s="1"/>
  <c r="AB629" i="1"/>
  <c r="AC629" i="1" s="1"/>
  <c r="AB1526" i="1"/>
  <c r="AC1526" i="1" s="1"/>
  <c r="AB334" i="1"/>
  <c r="AC334" i="1" s="1"/>
  <c r="AB509" i="1"/>
  <c r="AC509" i="1" s="1"/>
  <c r="AB164" i="1"/>
  <c r="AC164" i="1" s="1"/>
  <c r="AB1009" i="1"/>
  <c r="AC1009" i="1" s="1"/>
  <c r="AB421" i="1"/>
  <c r="AC421" i="1" s="1"/>
  <c r="AB938" i="1"/>
  <c r="AC938" i="1" s="1"/>
  <c r="AB664" i="1"/>
  <c r="AC664" i="1" s="1"/>
  <c r="AB383" i="1"/>
  <c r="AC383" i="1" s="1"/>
  <c r="AB1323" i="1"/>
  <c r="AC1323" i="1" s="1"/>
  <c r="AB656" i="1"/>
  <c r="AC656" i="1" s="1"/>
  <c r="AB38" i="1"/>
  <c r="AC38" i="1" s="1"/>
  <c r="AB1208" i="1"/>
  <c r="AC1208" i="1" s="1"/>
  <c r="AB756" i="1"/>
  <c r="AC756" i="1" s="1"/>
  <c r="AB544" i="1"/>
  <c r="AC544" i="1" s="1"/>
  <c r="AB80" i="1"/>
  <c r="AC80" i="1" s="1"/>
  <c r="AB1608" i="1"/>
  <c r="AC1608" i="1" s="1"/>
  <c r="AB1141" i="1"/>
  <c r="AC1141" i="1" s="1"/>
  <c r="AB900" i="1"/>
  <c r="AC900" i="1" s="1"/>
  <c r="AB842" i="1"/>
  <c r="AC842" i="1" s="1"/>
  <c r="AB1377" i="1"/>
  <c r="AC1377" i="1" s="1"/>
  <c r="AB36" i="1"/>
  <c r="AB210" i="1"/>
  <c r="AC210" i="1" s="1"/>
  <c r="AB926" i="1"/>
  <c r="AC926" i="1" s="1"/>
  <c r="AB1395" i="1"/>
  <c r="AC1395" i="1" s="1"/>
  <c r="AB1423" i="1"/>
  <c r="AC1423" i="1" s="1"/>
  <c r="AB1623" i="1"/>
  <c r="AB54" i="1"/>
  <c r="AC54" i="1" s="1"/>
  <c r="AB169" i="1"/>
  <c r="AC169" i="1" s="1"/>
  <c r="AB1070" i="1"/>
  <c r="AC1070" i="1" s="1"/>
  <c r="AB989" i="1"/>
  <c r="AC989" i="1" s="1"/>
  <c r="AB129" i="1"/>
  <c r="AC129" i="1" s="1"/>
  <c r="AB955" i="1"/>
  <c r="AB114" i="1"/>
  <c r="AC114" i="1" s="1"/>
  <c r="AB1038" i="1"/>
  <c r="AC1038" i="1" s="1"/>
  <c r="AB954" i="1"/>
  <c r="AB1116" i="1"/>
  <c r="AC1116" i="1" s="1"/>
  <c r="AB924" i="1"/>
  <c r="AC924" i="1" s="1"/>
  <c r="AC97" i="1"/>
  <c r="AB332" i="1"/>
  <c r="AC332" i="1" s="1"/>
  <c r="AB641" i="1"/>
  <c r="AC641" i="1" s="1"/>
  <c r="AB644" i="1"/>
  <c r="AC644" i="1" s="1"/>
  <c r="AB794" i="1"/>
  <c r="AC794" i="1" s="1"/>
  <c r="AB910" i="1"/>
  <c r="AC910" i="1" s="1"/>
  <c r="AB935" i="1"/>
  <c r="AC935" i="1" s="1"/>
  <c r="AB1360" i="1"/>
  <c r="AC1360" i="1" s="1"/>
  <c r="AB1523" i="1"/>
  <c r="AC1523" i="1" s="1"/>
  <c r="AC1061" i="1"/>
  <c r="AB1136" i="1"/>
  <c r="AC1136" i="1" s="1"/>
  <c r="AC1223" i="1"/>
  <c r="AB235" i="1"/>
  <c r="AC235" i="1" s="1"/>
  <c r="AB1406" i="1"/>
  <c r="AC1406" i="1" s="1"/>
  <c r="AB345" i="1"/>
  <c r="AC345" i="1" s="1"/>
  <c r="AB957" i="1"/>
  <c r="AC957" i="1" s="1"/>
  <c r="AB1429" i="1"/>
  <c r="AC1429" i="1" s="1"/>
  <c r="AB576" i="1"/>
  <c r="AC576" i="1" s="1"/>
  <c r="AB1153" i="1"/>
  <c r="AC1153" i="1" s="1"/>
  <c r="AB115" i="1"/>
  <c r="AC115" i="1" s="1"/>
  <c r="AB258" i="1"/>
  <c r="AC258" i="1" s="1"/>
  <c r="AB387" i="1"/>
  <c r="AC387" i="1" s="1"/>
  <c r="AB409" i="1"/>
  <c r="AC409" i="1" s="1"/>
  <c r="AB1168" i="1"/>
  <c r="AC1168" i="1" s="1"/>
  <c r="AB1287" i="1"/>
  <c r="AC1287" i="1" s="1"/>
  <c r="AB1334" i="1"/>
  <c r="AC1334" i="1" s="1"/>
  <c r="AB1400" i="1"/>
  <c r="AC1400" i="1" s="1"/>
  <c r="AB1517" i="1"/>
  <c r="AB1622" i="1"/>
  <c r="AB984" i="1"/>
  <c r="AC984" i="1" s="1"/>
  <c r="AC1221" i="1"/>
  <c r="AB1343" i="1"/>
  <c r="AC1343" i="1" s="1"/>
  <c r="AB1048" i="1"/>
  <c r="AC1048" i="1" s="1"/>
  <c r="AB442" i="1"/>
  <c r="AC442" i="1" s="1"/>
  <c r="AB461" i="1"/>
  <c r="AC461" i="1" s="1"/>
  <c r="AB1144" i="1"/>
  <c r="AC1144" i="1" s="1"/>
  <c r="AB1233" i="1"/>
  <c r="AC1233" i="1" s="1"/>
  <c r="AB79" i="1"/>
  <c r="AB441" i="1"/>
  <c r="AC441" i="1" s="1"/>
  <c r="AC1266" i="1"/>
  <c r="AB588" i="1"/>
  <c r="AC588" i="1" s="1"/>
  <c r="AB142" i="1"/>
  <c r="AC142" i="1" s="1"/>
  <c r="AB1133" i="1"/>
  <c r="AC1133" i="1" s="1"/>
  <c r="AB273" i="1"/>
  <c r="AC273" i="1" s="1"/>
  <c r="AB274" i="1"/>
  <c r="AC274" i="1" s="1"/>
  <c r="AB413" i="1"/>
  <c r="AC413" i="1" s="1"/>
  <c r="AB867" i="1"/>
  <c r="AC867" i="1" s="1"/>
  <c r="AB116" i="1"/>
  <c r="AB488" i="1"/>
  <c r="AC488" i="1" s="1"/>
  <c r="AB624" i="1"/>
  <c r="AC624" i="1" s="1"/>
  <c r="AC89" i="1"/>
  <c r="AB519" i="1"/>
  <c r="AC519" i="1" s="1"/>
  <c r="AB333" i="1"/>
  <c r="AC333" i="1" s="1"/>
  <c r="AB1145" i="1"/>
  <c r="AC1145" i="1" s="1"/>
  <c r="AB426" i="1"/>
  <c r="AC426" i="1" s="1"/>
  <c r="AB234" i="1"/>
  <c r="AC234" i="1" s="1"/>
  <c r="AB1402" i="1"/>
  <c r="AC1402" i="1" s="1"/>
  <c r="AB1128" i="1"/>
  <c r="AB977" i="1"/>
  <c r="AC977" i="1" s="1"/>
  <c r="AB193" i="1"/>
  <c r="AC193" i="1" s="1"/>
  <c r="AB1063" i="1"/>
  <c r="AC1063" i="1" s="1"/>
  <c r="AB393" i="1"/>
  <c r="AC393" i="1" s="1"/>
  <c r="AB1143" i="1"/>
  <c r="AC1143" i="1" s="1"/>
  <c r="AB285" i="1"/>
  <c r="AC285" i="1" s="1"/>
  <c r="AB424" i="1"/>
  <c r="AC424" i="1" s="1"/>
  <c r="AB1142" i="1"/>
  <c r="AC1142" i="1" s="1"/>
  <c r="AB587" i="1"/>
  <c r="AC587" i="1" s="1"/>
  <c r="AB1373" i="1"/>
  <c r="AC1373" i="1" s="1"/>
  <c r="AC1374" i="1"/>
  <c r="AB157" i="1"/>
  <c r="AC157" i="1" s="1"/>
  <c r="AB848" i="1"/>
  <c r="AC848" i="1" s="1"/>
  <c r="AB592" i="1"/>
  <c r="AC592" i="1" s="1"/>
  <c r="AB612" i="1"/>
  <c r="AC612" i="1" s="1"/>
  <c r="AB836" i="1"/>
  <c r="AC836" i="1" s="1"/>
  <c r="AB1084" i="1"/>
  <c r="AC1084" i="1" s="1"/>
  <c r="AB1042" i="1"/>
  <c r="AC1042" i="1" s="1"/>
  <c r="AB1483" i="1"/>
  <c r="AC1483" i="1" s="1"/>
  <c r="AB722" i="1"/>
  <c r="AC722" i="1" s="1"/>
  <c r="AB1446" i="1"/>
  <c r="AC1446" i="1" s="1"/>
  <c r="AB1675" i="1"/>
  <c r="AC1675" i="1" s="1"/>
  <c r="AB1081" i="1"/>
  <c r="AC1081" i="1" s="1"/>
  <c r="AB807" i="1"/>
  <c r="AC807" i="1" s="1"/>
  <c r="AB1625" i="1"/>
  <c r="AC1625" i="1" s="1"/>
  <c r="AB679" i="1"/>
  <c r="AC679" i="1" s="1"/>
  <c r="AB1411" i="1"/>
  <c r="AC1411" i="1" s="1"/>
  <c r="AB1085" i="1"/>
  <c r="AC1085" i="1" s="1"/>
  <c r="AB705" i="1"/>
  <c r="AC705" i="1" s="1"/>
  <c r="AB719" i="1"/>
  <c r="AC719" i="1" s="1"/>
  <c r="AB1591" i="1"/>
  <c r="AC1591" i="1" s="1"/>
  <c r="AB1193" i="1"/>
  <c r="AC1193" i="1" s="1"/>
  <c r="AB270" i="1"/>
  <c r="AC270" i="1" s="1"/>
  <c r="AB1086" i="1"/>
  <c r="AC1086" i="1" s="1"/>
  <c r="AB1619" i="1"/>
  <c r="AC1619" i="1" s="1"/>
  <c r="AB1616" i="1"/>
  <c r="AC1616" i="1" s="1"/>
  <c r="AB782" i="1"/>
  <c r="AC782" i="1" s="1"/>
  <c r="AB865" i="1"/>
  <c r="AC865" i="1" s="1"/>
  <c r="AB1361" i="1"/>
  <c r="AC1361" i="1" s="1"/>
  <c r="AB758" i="1"/>
  <c r="AC758" i="1" s="1"/>
  <c r="AB1032" i="1"/>
  <c r="AB1628" i="1"/>
  <c r="AC1628" i="1" s="1"/>
  <c r="AB1604" i="1"/>
  <c r="AC1604" i="1" s="1"/>
  <c r="AB638" i="1"/>
  <c r="AC638" i="1" s="1"/>
  <c r="AB1093" i="1"/>
  <c r="AC1093" i="1" s="1"/>
  <c r="AB1274" i="1"/>
  <c r="AC1274" i="1" s="1"/>
  <c r="AB1191" i="1"/>
  <c r="AC1191" i="1" s="1"/>
  <c r="AB2" i="1"/>
  <c r="AC2" i="1" s="1"/>
  <c r="AB1594" i="1"/>
  <c r="AC1594" i="1" s="1"/>
  <c r="AB925" i="1"/>
  <c r="AB1019" i="1"/>
  <c r="AC1019" i="1" s="1"/>
  <c r="AB692" i="1"/>
  <c r="AC692" i="1" s="1"/>
  <c r="AB1338" i="1"/>
  <c r="AB1020" i="1"/>
  <c r="AC1020" i="1" s="1"/>
  <c r="AB1075" i="1"/>
  <c r="AC1075" i="1" s="1"/>
  <c r="AB312" i="1"/>
  <c r="AC312" i="1" s="1"/>
  <c r="AB360" i="1"/>
  <c r="AC360" i="1" s="1"/>
  <c r="AB1225" i="1"/>
  <c r="AC1225" i="1" s="1"/>
  <c r="AB472" i="1"/>
  <c r="AC472" i="1" s="1"/>
  <c r="AB301" i="1"/>
  <c r="AC301" i="1" s="1"/>
  <c r="AB1202" i="1"/>
  <c r="AC1202" i="1" s="1"/>
  <c r="AB667" i="1"/>
  <c r="AC667" i="1" s="1"/>
  <c r="AB1139" i="1"/>
  <c r="AC1139" i="1" s="1"/>
  <c r="AB161" i="1"/>
  <c r="AC161" i="1" s="1"/>
  <c r="AB8" i="1"/>
  <c r="AC8" i="1" s="1"/>
  <c r="AB542" i="1"/>
  <c r="AC542" i="1" s="1"/>
  <c r="AB1329" i="1"/>
  <c r="AC1329" i="1" s="1"/>
  <c r="AB1027" i="1"/>
  <c r="AC1027" i="1" s="1"/>
  <c r="AB894" i="1"/>
  <c r="AC894" i="1" s="1"/>
  <c r="AB724" i="1"/>
  <c r="AC724" i="1" s="1"/>
  <c r="AB741" i="1"/>
  <c r="AB1559" i="1"/>
  <c r="AC1559" i="1" s="1"/>
  <c r="AB1108" i="1"/>
  <c r="AC1108" i="1" s="1"/>
  <c r="AB256" i="1"/>
  <c r="AC256" i="1" s="1"/>
  <c r="AB1475" i="1"/>
  <c r="AC1475" i="1" s="1"/>
  <c r="AB1122" i="1"/>
  <c r="AC1122" i="1" s="1"/>
  <c r="AB996" i="1"/>
  <c r="AC996" i="1" s="1"/>
  <c r="AB1609" i="1"/>
  <c r="AC1609" i="1" s="1"/>
  <c r="AB268" i="1"/>
  <c r="AC268" i="1" s="1"/>
  <c r="AB1007" i="1"/>
  <c r="AC1007" i="1" s="1"/>
  <c r="AB1602" i="1"/>
  <c r="AC1602" i="1" s="1"/>
  <c r="AB716" i="1"/>
  <c r="AB743" i="1"/>
  <c r="AC743" i="1" s="1"/>
  <c r="AB126" i="1"/>
  <c r="AB1339" i="1"/>
  <c r="AB86" i="1"/>
  <c r="AC86" i="1" s="1"/>
  <c r="AB1216" i="1"/>
  <c r="AC1216" i="1" s="1"/>
  <c r="AB422" i="1"/>
  <c r="AC422" i="1" s="1"/>
  <c r="AB1054" i="1"/>
  <c r="AC1054" i="1" s="1"/>
  <c r="AB1437" i="1"/>
  <c r="AC1437" i="1" s="1"/>
  <c r="AB158" i="1"/>
  <c r="AC158" i="1" s="1"/>
  <c r="AB1160" i="1"/>
  <c r="AB1503" i="1"/>
  <c r="AB1089" i="1"/>
  <c r="AC1089" i="1" s="1"/>
  <c r="AB202" i="1"/>
  <c r="AC202" i="1" s="1"/>
  <c r="AB728" i="1"/>
  <c r="AC728" i="1" s="1"/>
  <c r="AB539" i="1"/>
  <c r="AC539" i="1" s="1"/>
  <c r="AB41" i="1"/>
  <c r="AC41" i="1" s="1"/>
  <c r="AB211" i="1"/>
  <c r="AC211" i="1" s="1"/>
  <c r="AB402" i="1"/>
  <c r="AC402" i="1" s="1"/>
  <c r="AC789" i="1"/>
  <c r="AB42" i="1"/>
  <c r="AC42" i="1" s="1"/>
  <c r="AB964" i="1"/>
  <c r="AB76" i="1"/>
  <c r="AC76" i="1" s="1"/>
  <c r="AB1348" i="1"/>
  <c r="AC1348" i="1" s="1"/>
  <c r="AB972" i="1"/>
  <c r="AC972" i="1" s="1"/>
  <c r="AB961" i="1"/>
  <c r="AB591" i="1"/>
  <c r="AC591" i="1" s="1"/>
  <c r="AB96" i="1"/>
  <c r="AC96" i="1" s="1"/>
  <c r="AB107" i="1"/>
  <c r="AC107" i="1" s="1"/>
  <c r="AB1067" i="1"/>
  <c r="AB225" i="1"/>
  <c r="AC225" i="1" s="1"/>
  <c r="AB78" i="1"/>
  <c r="AC78" i="1" s="1"/>
  <c r="AC1059" i="1"/>
  <c r="AB1677" i="1"/>
  <c r="AB598" i="1"/>
  <c r="AC598" i="1" s="1"/>
  <c r="AB288" i="1"/>
  <c r="AC288" i="1" s="1"/>
  <c r="AB543" i="1"/>
  <c r="AC543" i="1" s="1"/>
  <c r="AB1005" i="1"/>
  <c r="AB40" i="1"/>
  <c r="AC40" i="1" s="1"/>
  <c r="AC194" i="1"/>
  <c r="AB541" i="1"/>
  <c r="AC541" i="1" s="1"/>
  <c r="AB491" i="1"/>
  <c r="AC491" i="1" s="1"/>
  <c r="AB1165" i="1"/>
  <c r="AC1165" i="1" s="1"/>
  <c r="AB1294" i="1"/>
  <c r="AC1294" i="1" s="1"/>
  <c r="AB847" i="1"/>
  <c r="AC847" i="1" s="1"/>
  <c r="AB1496" i="1"/>
  <c r="AC1496" i="1" s="1"/>
  <c r="AB816" i="1"/>
  <c r="AC816" i="1" s="1"/>
  <c r="AB1427" i="1"/>
  <c r="AC1427" i="1" s="1"/>
  <c r="AB1080" i="1"/>
  <c r="AC1080" i="1" s="1"/>
  <c r="AB1383" i="1"/>
  <c r="AB1039" i="1"/>
  <c r="AC1039" i="1" s="1"/>
  <c r="AB174" i="1"/>
  <c r="AC174" i="1" s="1"/>
  <c r="AB626" i="1"/>
  <c r="AC626" i="1" s="1"/>
  <c r="AB1238" i="1"/>
  <c r="AC1238" i="1" s="1"/>
  <c r="AB765" i="1"/>
  <c r="AC765" i="1" s="1"/>
  <c r="AB1247" i="1"/>
  <c r="AC1247" i="1" s="1"/>
  <c r="AB1004" i="1"/>
  <c r="AC1004" i="1" s="1"/>
  <c r="AB339" i="1"/>
  <c r="AC339" i="1" s="1"/>
  <c r="AB672" i="1"/>
  <c r="AC672" i="1" s="1"/>
  <c r="AB725" i="1"/>
  <c r="AC725" i="1" s="1"/>
  <c r="AB1412" i="1"/>
  <c r="AC1412" i="1" s="1"/>
  <c r="AB1381" i="1"/>
  <c r="AB874" i="1"/>
  <c r="AC874" i="1" s="1"/>
  <c r="AB474" i="1"/>
  <c r="AC474" i="1" s="1"/>
  <c r="AB1162" i="1"/>
  <c r="AC1162" i="1" s="1"/>
  <c r="AB678" i="1"/>
  <c r="AC678" i="1" s="1"/>
  <c r="AB897" i="1"/>
  <c r="AC897" i="1" s="1"/>
  <c r="AB252" i="1"/>
  <c r="AC252" i="1" s="1"/>
  <c r="AB93" i="1"/>
  <c r="AC93" i="1" s="1"/>
  <c r="AB887" i="1"/>
  <c r="AC887" i="1" s="1"/>
  <c r="AB1629" i="1"/>
  <c r="AC1629" i="1" s="1"/>
  <c r="AB1382" i="1"/>
  <c r="AB386" i="1"/>
  <c r="AC386" i="1" s="1"/>
  <c r="AC992" i="1"/>
  <c r="AB1541" i="1"/>
  <c r="AC1541" i="1" s="1"/>
  <c r="AB1014" i="1"/>
  <c r="AC1014" i="1" s="1"/>
  <c r="AB937" i="1"/>
  <c r="AC937" i="1" s="1"/>
  <c r="AB37" i="1"/>
  <c r="AC37" i="1" s="1"/>
  <c r="AB868" i="1"/>
  <c r="AC868" i="1" s="1"/>
  <c r="AB90" i="1"/>
  <c r="AC90" i="1" s="1"/>
  <c r="AB490" i="1"/>
  <c r="AC490" i="1" s="1"/>
  <c r="AB884" i="1"/>
  <c r="AC884" i="1" s="1"/>
  <c r="AB914" i="1"/>
  <c r="AC914" i="1" s="1"/>
  <c r="AB411" i="1"/>
  <c r="AC411" i="1" s="1"/>
  <c r="AB480" i="1"/>
  <c r="AC480" i="1" s="1"/>
  <c r="AB873" i="1"/>
  <c r="AC873" i="1" s="1"/>
  <c r="AB537" i="1"/>
  <c r="AC537" i="1" s="1"/>
  <c r="AB1151" i="1"/>
  <c r="AC1151" i="1" s="1"/>
  <c r="AB159" i="1"/>
  <c r="AC159" i="1" s="1"/>
  <c r="AB239" i="1"/>
  <c r="AC239" i="1" s="1"/>
  <c r="AB412" i="1"/>
  <c r="AC412" i="1" s="1"/>
  <c r="AB1449" i="1"/>
  <c r="AC1449" i="1" s="1"/>
  <c r="AB1325" i="1"/>
  <c r="AC1325" i="1" s="1"/>
  <c r="AB845" i="1"/>
  <c r="AC845" i="1" s="1"/>
  <c r="AB814" i="1"/>
  <c r="AC814" i="1" s="1"/>
  <c r="AB676" i="1"/>
  <c r="AC676" i="1" s="1"/>
  <c r="AB1618" i="1"/>
  <c r="AB160" i="1"/>
  <c r="AC160" i="1" s="1"/>
  <c r="AB1605" i="1"/>
  <c r="AC1605" i="1" s="1"/>
  <c r="AB1296" i="1"/>
  <c r="AC1296" i="1" s="1"/>
  <c r="AB1581" i="1"/>
  <c r="AC1581" i="1" s="1"/>
  <c r="AB1011" i="1"/>
  <c r="AC1011" i="1" s="1"/>
  <c r="AB1190" i="1"/>
  <c r="AC1190" i="1" s="1"/>
  <c r="AB1092" i="1"/>
  <c r="AC1092" i="1" s="1"/>
  <c r="AB673" i="1"/>
  <c r="AC673" i="1" s="1"/>
  <c r="AB127" i="1"/>
  <c r="AC127" i="1" s="1"/>
  <c r="AB1548" i="1"/>
  <c r="AC1548" i="1" s="1"/>
  <c r="AC1222" i="1"/>
  <c r="AB655" i="1"/>
  <c r="AC655" i="1" s="1"/>
  <c r="AB986" i="1"/>
  <c r="AC986" i="1" s="1"/>
  <c r="AB1068" i="1"/>
  <c r="AC1068" i="1" s="1"/>
  <c r="AB514" i="1"/>
  <c r="AC514" i="1" s="1"/>
  <c r="AB513" i="1"/>
  <c r="AC513" i="1" s="1"/>
  <c r="AB1574" i="1"/>
  <c r="AB951" i="1"/>
  <c r="AB493" i="1"/>
  <c r="AC493" i="1" s="1"/>
  <c r="AB1215" i="1"/>
  <c r="AC1215" i="1" s="1"/>
  <c r="AB1342" i="1"/>
  <c r="AB1157" i="1"/>
  <c r="AC1157" i="1" s="1"/>
  <c r="AB578" i="1"/>
  <c r="AC578" i="1" s="1"/>
  <c r="AB948" i="1"/>
  <c r="AC948" i="1" s="1"/>
  <c r="AC1220" i="1"/>
  <c r="AB674" i="1"/>
  <c r="AC674" i="1" s="1"/>
  <c r="AB766" i="1"/>
  <c r="AC766" i="1" s="1"/>
  <c r="AB974" i="1"/>
  <c r="AB1101" i="1"/>
  <c r="AC1101" i="1" s="1"/>
  <c r="AB1572" i="1"/>
  <c r="AC1572" i="1" s="1"/>
  <c r="AB496" i="1"/>
  <c r="AC496" i="1" s="1"/>
  <c r="AB1207" i="1"/>
  <c r="AC1207" i="1" s="1"/>
  <c r="AB895" i="1"/>
  <c r="AC895" i="1" s="1"/>
  <c r="AB608" i="1"/>
  <c r="AC608" i="1" s="1"/>
  <c r="AB1433" i="1"/>
  <c r="AC1433" i="1" s="1"/>
  <c r="AB1714" i="1"/>
  <c r="AC1714" i="1" s="1"/>
  <c r="AB1442" i="1"/>
  <c r="AC1442" i="1" s="1"/>
  <c r="AB839" i="1"/>
  <c r="AC839" i="1" s="1"/>
  <c r="AB1613" i="1"/>
  <c r="AC1613" i="1" s="1"/>
  <c r="AB1305" i="1"/>
  <c r="AC1305" i="1" s="1"/>
  <c r="AB995" i="1"/>
  <c r="AC995" i="1" s="1"/>
  <c r="AB1098" i="1"/>
  <c r="AC1098" i="1" s="1"/>
  <c r="AB468" i="1"/>
  <c r="AC468" i="1" s="1"/>
  <c r="AB1013" i="1"/>
  <c r="AC1013" i="1" s="1"/>
  <c r="AB476" i="1"/>
  <c r="AC476" i="1" s="1"/>
  <c r="AB770" i="1"/>
  <c r="AC770" i="1" s="1"/>
  <c r="AB1318" i="1"/>
  <c r="AC1318" i="1" s="1"/>
  <c r="AB470" i="1"/>
  <c r="AC470" i="1" s="1"/>
  <c r="AB1420" i="1"/>
  <c r="AC1420" i="1" s="1"/>
  <c r="AB1053" i="1"/>
  <c r="AC1053" i="1" s="1"/>
  <c r="AB264" i="1"/>
  <c r="AC264" i="1" s="1"/>
  <c r="AB498" i="1"/>
  <c r="AC498" i="1" s="1"/>
  <c r="AB1378" i="1"/>
  <c r="AC1378" i="1" s="1"/>
  <c r="AB829" i="1"/>
  <c r="AC829" i="1" s="1"/>
  <c r="AB942" i="1"/>
  <c r="AC942" i="1" s="1"/>
  <c r="AB1430" i="1"/>
  <c r="AC1430" i="1" s="1"/>
  <c r="AB1487" i="1"/>
  <c r="AC1487" i="1" s="1"/>
  <c r="AB399" i="1"/>
  <c r="AC399" i="1" s="1"/>
  <c r="AB1582" i="1"/>
  <c r="AC1582" i="1" s="1"/>
  <c r="AB573" i="1"/>
  <c r="AC573" i="1" s="1"/>
  <c r="AB998" i="1"/>
  <c r="AC998" i="1" s="1"/>
  <c r="AB898" i="1"/>
  <c r="AC898" i="1" s="1"/>
  <c r="AB1627" i="1"/>
  <c r="AC1627" i="1" s="1"/>
  <c r="AB61" i="1"/>
  <c r="AC61" i="1" s="1"/>
  <c r="AB1018" i="1"/>
  <c r="AC1018" i="1" s="1"/>
  <c r="AB846" i="1"/>
  <c r="AC846" i="1" s="1"/>
  <c r="AB271" i="1"/>
  <c r="AC271" i="1" s="1"/>
  <c r="AB801" i="1"/>
  <c r="AC801" i="1" s="1"/>
  <c r="AB733" i="1"/>
  <c r="AC733" i="1" s="1"/>
  <c r="AB1438" i="1"/>
  <c r="AC1438" i="1" s="1"/>
  <c r="AB69" i="1"/>
  <c r="AC69" i="1" s="1"/>
  <c r="AB1508" i="1"/>
  <c r="AC1508" i="1" s="1"/>
  <c r="AB1452" i="1"/>
  <c r="AC1452" i="1" s="1"/>
  <c r="AB1598" i="1"/>
  <c r="AC1598" i="1" s="1"/>
  <c r="AB1584" i="1"/>
  <c r="AC1584" i="1" s="1"/>
  <c r="AB1626" i="1"/>
  <c r="AC1626" i="1" s="1"/>
  <c r="AB1620" i="1"/>
  <c r="AC1620" i="1" s="1"/>
  <c r="AB734" i="1"/>
  <c r="AC734" i="1" s="1"/>
  <c r="AB792" i="1"/>
  <c r="AC792" i="1" s="1"/>
  <c r="AB797" i="1"/>
  <c r="AC797" i="1" s="1"/>
  <c r="AB1293" i="1"/>
  <c r="AC1293" i="1" s="1"/>
  <c r="AB1074" i="1"/>
  <c r="AC1074" i="1" s="1"/>
  <c r="AB896" i="1"/>
  <c r="AC896" i="1" s="1"/>
  <c r="AB830" i="1"/>
  <c r="AC830" i="1" s="1"/>
  <c r="AB306" i="1"/>
  <c r="AC306" i="1" s="1"/>
  <c r="AB1087" i="1"/>
  <c r="AC1087" i="1" s="1"/>
  <c r="AB670" i="1"/>
  <c r="AC670" i="1" s="1"/>
  <c r="AB206" i="1"/>
  <c r="AC206" i="1" s="1"/>
  <c r="AB1370" i="1"/>
  <c r="AC1370" i="1" s="1"/>
  <c r="AB136" i="1"/>
  <c r="AC136" i="1" s="1"/>
  <c r="AB3" i="1"/>
  <c r="AC3" i="1" s="1"/>
  <c r="AB1532" i="1"/>
  <c r="AC1532" i="1" s="1"/>
  <c r="AB1369" i="1"/>
  <c r="AC1369" i="1" s="1"/>
  <c r="AB331" i="1"/>
  <c r="AC331" i="1" s="1"/>
  <c r="AB1585" i="1"/>
  <c r="AC1585" i="1" s="1"/>
  <c r="AB1069" i="1"/>
  <c r="AC1069" i="1" s="1"/>
  <c r="AB1595" i="1"/>
  <c r="AC1595" i="1" s="1"/>
  <c r="AB1015" i="1"/>
  <c r="AC1015" i="1" s="1"/>
  <c r="AB1558" i="1"/>
  <c r="AC1558" i="1" s="1"/>
  <c r="AB1431" i="1"/>
  <c r="AC1431" i="1" s="1"/>
  <c r="AB1611" i="1"/>
  <c r="AC1611" i="1" s="1"/>
  <c r="AB1610" i="1"/>
  <c r="AC1610" i="1" s="1"/>
  <c r="AB1710" i="1"/>
  <c r="AC1710" i="1" s="1"/>
  <c r="AB1597" i="1"/>
  <c r="AC1597" i="1" s="1"/>
  <c r="AB1711" i="1"/>
  <c r="AC1711" i="1" s="1"/>
  <c r="AB1713" i="1"/>
  <c r="AC1713" i="1" s="1"/>
  <c r="AB1712" i="1"/>
  <c r="AC1712" i="1" s="1"/>
  <c r="AB675" i="1"/>
  <c r="AB1607" i="1"/>
  <c r="AC1607" i="1" s="1"/>
  <c r="AB1709" i="1"/>
  <c r="AC1709" i="1" s="1"/>
  <c r="AB1715" i="1"/>
  <c r="AC1715" i="1" s="1"/>
  <c r="AB1716" i="1"/>
  <c r="AC1716" i="1" s="1"/>
  <c r="AB1717" i="1"/>
  <c r="AC1717" i="1" s="1"/>
  <c r="AB1718" i="1"/>
  <c r="AC1718" i="1" s="1"/>
  <c r="AB1621" i="1"/>
  <c r="I1626" i="1"/>
  <c r="I1430" i="1"/>
  <c r="I1080" i="1"/>
  <c r="I1427" i="1"/>
  <c r="I1040" i="1"/>
  <c r="I1615" i="1"/>
  <c r="I1621" i="1"/>
  <c r="E157" i="1"/>
  <c r="E283" i="1"/>
  <c r="E1015" i="1"/>
  <c r="E1559" i="1"/>
  <c r="E1084" i="1"/>
  <c r="E741" i="1"/>
  <c r="E942" i="1"/>
  <c r="E743" i="1"/>
  <c r="E386" i="1"/>
  <c r="E846" i="1"/>
  <c r="E885" i="1"/>
  <c r="E272" i="1"/>
  <c r="E1207" i="1"/>
  <c r="E1508" i="1"/>
  <c r="E1017" i="1"/>
  <c r="E678" i="1"/>
  <c r="E719" i="1"/>
  <c r="E1587" i="1"/>
  <c r="E1619" i="1"/>
  <c r="E470" i="1"/>
  <c r="E1484" i="1"/>
  <c r="E496" i="1"/>
  <c r="E1625" i="1"/>
  <c r="E541" i="1"/>
  <c r="E69" i="1"/>
  <c r="E1572" i="1"/>
  <c r="E1086" i="1"/>
  <c r="E1005" i="1"/>
  <c r="E1487" i="1"/>
  <c r="E1617" i="1"/>
  <c r="E1032" i="1"/>
  <c r="E474" i="1"/>
  <c r="E1101" i="1"/>
  <c r="E1602" i="1"/>
  <c r="E974" i="1"/>
  <c r="E401" i="1"/>
  <c r="E206" i="1"/>
  <c r="E331" i="1"/>
  <c r="E399" i="1"/>
  <c r="E766" i="1"/>
  <c r="E333" i="1"/>
  <c r="E174" i="1"/>
  <c r="E1449" i="1"/>
  <c r="E1039" i="1"/>
  <c r="E1614" i="1"/>
  <c r="E519" i="1"/>
  <c r="E1007" i="1"/>
  <c r="E268" i="1"/>
  <c r="E808" i="1"/>
  <c r="E1532" i="1"/>
  <c r="E161" i="1"/>
  <c r="E1139" i="1"/>
  <c r="E1222" i="1"/>
  <c r="E1591" i="1"/>
  <c r="E635" i="1"/>
  <c r="E1601" i="1"/>
  <c r="E1018" i="1"/>
  <c r="E1192" i="1"/>
  <c r="E667" i="1"/>
  <c r="E986" i="1"/>
  <c r="E514" i="1"/>
  <c r="E677" i="1"/>
  <c r="E1361" i="1"/>
  <c r="E1318" i="1"/>
  <c r="E1438" i="1"/>
  <c r="E654" i="1"/>
  <c r="E1595" i="1"/>
  <c r="E770" i="1"/>
  <c r="E1433" i="1"/>
  <c r="E1542" i="1"/>
  <c r="E721" i="1"/>
  <c r="E626" i="1"/>
  <c r="E839" i="1"/>
  <c r="E1616" i="1"/>
  <c r="E1343" i="1"/>
  <c r="E264" i="1"/>
  <c r="E239" i="1"/>
  <c r="E1068" i="1"/>
  <c r="E874" i="1"/>
  <c r="E1452" i="1"/>
  <c r="E804" i="1"/>
  <c r="E1431" i="1"/>
  <c r="E159" i="1"/>
  <c r="E593" i="1"/>
  <c r="E591" i="1"/>
  <c r="E998" i="1"/>
  <c r="E1220" i="1"/>
  <c r="E1193" i="1"/>
  <c r="E1069" i="1"/>
  <c r="E996" i="1"/>
  <c r="E1589" i="1"/>
  <c r="E472" i="1"/>
  <c r="E537" i="1"/>
  <c r="E1430" i="1"/>
  <c r="E964" i="1"/>
  <c r="E651" i="1"/>
  <c r="E657" i="1"/>
  <c r="E476" i="1"/>
  <c r="E1434" i="1"/>
  <c r="E1042" i="1"/>
  <c r="E1085" i="1"/>
  <c r="E1315" i="1"/>
  <c r="E1238" i="1"/>
  <c r="E1358" i="1"/>
  <c r="E1277" i="1"/>
  <c r="E836" i="1"/>
  <c r="E1225" i="1"/>
  <c r="E360" i="1"/>
  <c r="E807" i="1"/>
  <c r="E734" i="1"/>
  <c r="E758" i="1"/>
  <c r="E1087" i="1"/>
  <c r="E814" i="1"/>
  <c r="E480" i="1"/>
  <c r="E1411" i="1"/>
  <c r="E1013" i="1"/>
  <c r="E1092" i="1"/>
  <c r="E573" i="1"/>
  <c r="E136" i="1"/>
  <c r="E1020" i="1"/>
  <c r="E847" i="1"/>
  <c r="E679" i="1"/>
  <c r="E1308" i="1"/>
  <c r="E897" i="1"/>
  <c r="E39" i="1"/>
  <c r="E930" i="1"/>
  <c r="E1558" i="1"/>
  <c r="E896" i="1"/>
  <c r="E208" i="1"/>
  <c r="E1383" i="1"/>
  <c r="E733" i="1"/>
  <c r="E1080" i="1"/>
  <c r="E468" i="1"/>
  <c r="E1585" i="1"/>
  <c r="E1615" i="1"/>
  <c r="E270" i="1"/>
  <c r="E889" i="1"/>
  <c r="E1338" i="1"/>
  <c r="E722" i="1"/>
  <c r="E940" i="1"/>
  <c r="E612" i="1"/>
  <c r="E842" i="1"/>
  <c r="E411" i="1"/>
  <c r="E1378" i="1"/>
  <c r="E1064" i="1"/>
  <c r="E1596" i="1"/>
  <c r="E592" i="1"/>
  <c r="E202" i="1"/>
  <c r="E1089" i="1"/>
  <c r="E914" i="1"/>
  <c r="E1053" i="1"/>
  <c r="E706" i="1"/>
  <c r="E1566" i="1"/>
  <c r="E797" i="1"/>
  <c r="E1483" i="1"/>
  <c r="E93" i="1"/>
  <c r="E848" i="1"/>
  <c r="E1590" i="1"/>
  <c r="E1427" i="1"/>
  <c r="E1325" i="1"/>
  <c r="E801" i="1"/>
  <c r="E1160" i="1"/>
  <c r="E705" i="1"/>
  <c r="E1553" i="1"/>
  <c r="E865" i="1"/>
  <c r="E498" i="1"/>
  <c r="E180" i="1"/>
  <c r="E513" i="1"/>
  <c r="E1442" i="1"/>
  <c r="E1446" i="1"/>
  <c r="E1432" i="1"/>
  <c r="E792" i="1"/>
  <c r="E710" i="1"/>
  <c r="E306" i="1"/>
  <c r="E207" i="1"/>
  <c r="E1157" i="1"/>
  <c r="E830" i="1"/>
  <c r="E1342" i="1"/>
  <c r="E374" i="1"/>
  <c r="E1437" i="1"/>
  <c r="E1215" i="1"/>
  <c r="E1149" i="1"/>
  <c r="E765" i="1"/>
  <c r="E1040" i="1"/>
  <c r="E61" i="1"/>
  <c r="E845" i="1"/>
  <c r="E608" i="1"/>
  <c r="E818" i="1"/>
  <c r="E1584" i="1"/>
  <c r="E493" i="1"/>
  <c r="E422" i="1"/>
  <c r="E866" i="1"/>
  <c r="E1369" i="1"/>
  <c r="E1074" i="1"/>
  <c r="E490" i="1"/>
  <c r="E1294" i="1"/>
  <c r="E355" i="1"/>
  <c r="E1319" i="1"/>
  <c r="E1293" i="1"/>
  <c r="E1011" i="1"/>
  <c r="E1081" i="1"/>
  <c r="E782" i="1"/>
  <c r="E271" i="1"/>
  <c r="E1189" i="1"/>
  <c r="E230" i="1"/>
  <c r="E995" i="1"/>
  <c r="E156" i="1"/>
  <c r="E1598" i="1"/>
  <c r="E1546" i="1"/>
  <c r="E1481" i="1"/>
  <c r="E676" i="1"/>
  <c r="E1019" i="1"/>
  <c r="E251" i="1"/>
  <c r="E1305" i="1"/>
  <c r="E1548" i="1"/>
  <c r="E937" i="1"/>
  <c r="E1370" i="1"/>
  <c r="E1593" i="1"/>
  <c r="E735" i="1"/>
  <c r="E1632" i="1"/>
  <c r="E1350" i="1"/>
  <c r="E1698" i="1"/>
  <c r="E1621" i="1"/>
  <c r="E1647" i="1"/>
  <c r="E1626" i="1"/>
  <c r="E3" i="1"/>
  <c r="D1698" i="1" l="1"/>
  <c r="D1647" i="1"/>
  <c r="D1632" i="1"/>
  <c r="D1626" i="1"/>
  <c r="G1621" i="1"/>
  <c r="D1621" i="1"/>
  <c r="D1350" i="1"/>
</calcChain>
</file>

<file path=xl/sharedStrings.xml><?xml version="1.0" encoding="utf-8"?>
<sst xmlns="http://schemas.openxmlformats.org/spreadsheetml/2006/main" count="19906" uniqueCount="2854">
  <si>
    <t>Area</t>
  </si>
  <si>
    <t>Brief Description</t>
  </si>
  <si>
    <t>Weight</t>
  </si>
  <si>
    <t>ENV</t>
  </si>
  <si>
    <t>No. from each context</t>
  </si>
  <si>
    <t>No. of fragments</t>
  </si>
  <si>
    <t>Fabric</t>
  </si>
  <si>
    <t>Subgroup</t>
  </si>
  <si>
    <t>Glaze Colour</t>
  </si>
  <si>
    <t>Inclusions</t>
  </si>
  <si>
    <t>Interior?</t>
  </si>
  <si>
    <t>Exterior?</t>
  </si>
  <si>
    <t>Glaze notes</t>
  </si>
  <si>
    <t>Rim</t>
  </si>
  <si>
    <t>Total Rim</t>
  </si>
  <si>
    <t>Rim diameter</t>
  </si>
  <si>
    <t>Rim Form</t>
  </si>
  <si>
    <t>Total Body (%)</t>
  </si>
  <si>
    <t>Base (%)</t>
  </si>
  <si>
    <t>Total Base (%)</t>
  </si>
  <si>
    <t>Base diameter</t>
  </si>
  <si>
    <t>Handles present</t>
  </si>
  <si>
    <t>Handle scars/stump present</t>
  </si>
  <si>
    <t>Handle form</t>
  </si>
  <si>
    <t>Handle notes</t>
  </si>
  <si>
    <t>Triple fingermark?</t>
  </si>
  <si>
    <t>Sooting?</t>
  </si>
  <si>
    <t>Kiln notes</t>
  </si>
  <si>
    <t>Decoration</t>
  </si>
  <si>
    <t>Form</t>
  </si>
  <si>
    <t xml:space="preserve">Notes </t>
  </si>
  <si>
    <t>BDA</t>
  </si>
  <si>
    <t>lower profile</t>
  </si>
  <si>
    <t>1</t>
  </si>
  <si>
    <t>3</t>
  </si>
  <si>
    <t>Bw</t>
  </si>
  <si>
    <t>4</t>
  </si>
  <si>
    <t>2</t>
  </si>
  <si>
    <t>y</t>
  </si>
  <si>
    <t>glossier on interior, thick dribbles on interior with one patch of wall unglazed, on exterior base is unglazed</t>
  </si>
  <si>
    <t>rod</t>
  </si>
  <si>
    <t>wire removal on base</t>
  </si>
  <si>
    <t>drinking vessel</t>
  </si>
  <si>
    <t>BDE</t>
  </si>
  <si>
    <t>near full profile</t>
  </si>
  <si>
    <t>135,27,21,8,7</t>
  </si>
  <si>
    <t>9</t>
  </si>
  <si>
    <t>3?</t>
  </si>
  <si>
    <t>large sand deposit on exterior just above base</t>
  </si>
  <si>
    <t>BD</t>
  </si>
  <si>
    <t>base</t>
  </si>
  <si>
    <t>2?</t>
  </si>
  <si>
    <t>n</t>
  </si>
  <si>
    <t>BD/P(1)</t>
  </si>
  <si>
    <t>?</t>
  </si>
  <si>
    <t>1?</t>
  </si>
  <si>
    <t>no marking on base</t>
  </si>
  <si>
    <t>BDX</t>
  </si>
  <si>
    <t>possibly very light sooting, but not obvious</t>
  </si>
  <si>
    <t>stumpy leg</t>
  </si>
  <si>
    <t>tripod pipkin</t>
  </si>
  <si>
    <t>BDH</t>
  </si>
  <si>
    <t>74,6</t>
  </si>
  <si>
    <t>0</t>
  </si>
  <si>
    <t>upright, lid seated</t>
  </si>
  <si>
    <t>lid</t>
  </si>
  <si>
    <t>untidy base pedestal</t>
  </si>
  <si>
    <t>costrel</t>
  </si>
  <si>
    <t>BDF</t>
  </si>
  <si>
    <t>BDZ</t>
  </si>
  <si>
    <t>Bw/Cw</t>
  </si>
  <si>
    <t>u/id</t>
  </si>
  <si>
    <t>BDQ</t>
  </si>
  <si>
    <t>BDC</t>
  </si>
  <si>
    <t>BDL</t>
  </si>
  <si>
    <t>BDY</t>
  </si>
  <si>
    <t>no edge</t>
  </si>
  <si>
    <t>Cw</t>
  </si>
  <si>
    <t>rim</t>
  </si>
  <si>
    <t>simple, everted</t>
  </si>
  <si>
    <t>pancheon</t>
  </si>
  <si>
    <t>too abraded</t>
  </si>
  <si>
    <t>5</t>
  </si>
  <si>
    <t>simple, slightly everted</t>
  </si>
  <si>
    <t>flask/costrel</t>
  </si>
  <si>
    <t>fine jar</t>
  </si>
  <si>
    <t>2,2</t>
  </si>
  <si>
    <t>2x1</t>
  </si>
  <si>
    <t>simple, upright</t>
  </si>
  <si>
    <t>body sherds</t>
  </si>
  <si>
    <t>11,7,4,2</t>
  </si>
  <si>
    <t>4x1</t>
  </si>
  <si>
    <t>&lt;5</t>
  </si>
  <si>
    <t>15,2</t>
  </si>
  <si>
    <t>23,15,7</t>
  </si>
  <si>
    <t>1,2</t>
  </si>
  <si>
    <t>8,3,2</t>
  </si>
  <si>
    <t>3x1</t>
  </si>
  <si>
    <t>3,2,1</t>
  </si>
  <si>
    <t>3,3,3</t>
  </si>
  <si>
    <t>body sherd</t>
  </si>
  <si>
    <t>BDB/BDZ</t>
  </si>
  <si>
    <t>40,15</t>
  </si>
  <si>
    <t>BDB</t>
  </si>
  <si>
    <t>handle stump</t>
  </si>
  <si>
    <t>20,7</t>
  </si>
  <si>
    <t>ridge to extreme right of handle</t>
  </si>
  <si>
    <t>base and body sherds</t>
  </si>
  <si>
    <t>137,46,18,6,5,5,3</t>
  </si>
  <si>
    <t>7</t>
  </si>
  <si>
    <t>5,2</t>
  </si>
  <si>
    <t>medium fine jar</t>
  </si>
  <si>
    <t>prominent ridge down centre of handle</t>
  </si>
  <si>
    <t>Cistercian type 4 drinking vessel</t>
  </si>
  <si>
    <t>upright, squared</t>
  </si>
  <si>
    <t>handles</t>
  </si>
  <si>
    <t>10,13</t>
  </si>
  <si>
    <t>prominent ridge down centres of handle</t>
  </si>
  <si>
    <t>handles, probably from drinking vessels</t>
  </si>
  <si>
    <t>handle</t>
  </si>
  <si>
    <t>rounded top</t>
  </si>
  <si>
    <t>8,5,5,2,2,2</t>
  </si>
  <si>
    <t>7x1</t>
  </si>
  <si>
    <t>BDJ</t>
  </si>
  <si>
    <t>3,1</t>
  </si>
  <si>
    <t>12</t>
  </si>
  <si>
    <t>8,5</t>
  </si>
  <si>
    <t>1 has rounded top, other has off-centre ridge</t>
  </si>
  <si>
    <t>37,3,1</t>
  </si>
  <si>
    <t>6,4,1</t>
  </si>
  <si>
    <t>5,4</t>
  </si>
  <si>
    <t>Very slight handle scar if present</t>
  </si>
  <si>
    <t>16,2</t>
  </si>
  <si>
    <t>groove down centre of handle</t>
  </si>
  <si>
    <t>11,4,2</t>
  </si>
  <si>
    <t>light yellow speckling</t>
  </si>
  <si>
    <t>upright, slightly clubbed</t>
  </si>
  <si>
    <t>fine medium jar</t>
  </si>
  <si>
    <t>ridge down centre of handle</t>
  </si>
  <si>
    <t>6,5</t>
  </si>
  <si>
    <t>One with a rounded, one with a flattened top</t>
  </si>
  <si>
    <t>12,6,6,5</t>
  </si>
  <si>
    <t>17,15,11,9</t>
  </si>
  <si>
    <t>2,2x1</t>
  </si>
  <si>
    <t>very slight handle scar if present</t>
  </si>
  <si>
    <t>5,3,1</t>
  </si>
  <si>
    <t>3,2</t>
  </si>
  <si>
    <t>underside of handles glazed</t>
  </si>
  <si>
    <t>One with slight groove down centre and ridge on underside, other rounded</t>
  </si>
  <si>
    <t>BDD</t>
  </si>
  <si>
    <t>ridge off centre towards right of handle</t>
  </si>
  <si>
    <t>BDD/E</t>
  </si>
  <si>
    <t>ridge off centre towards left of handle</t>
  </si>
  <si>
    <t>very slight handle scar</t>
  </si>
  <si>
    <t>23,15</t>
  </si>
  <si>
    <t>strap</t>
  </si>
  <si>
    <t>Large thumb impression at base</t>
  </si>
  <si>
    <t>26,12</t>
  </si>
  <si>
    <t>slight handle scars</t>
  </si>
  <si>
    <t>4,2</t>
  </si>
  <si>
    <t>6,3</t>
  </si>
  <si>
    <t>Underside of handle unglazed</t>
  </si>
  <si>
    <t>flat top</t>
  </si>
  <si>
    <t>13,4</t>
  </si>
  <si>
    <t>slight scar</t>
  </si>
  <si>
    <t>underside glazed</t>
  </si>
  <si>
    <t>slightly everted and clubbed internally</t>
  </si>
  <si>
    <t>raised horizontal ridge</t>
  </si>
  <si>
    <t>1,1,1</t>
  </si>
  <si>
    <t>very dusty glaze</t>
  </si>
  <si>
    <t>1,1,1,1,1</t>
  </si>
  <si>
    <t>2,3x1</t>
  </si>
  <si>
    <t>slightly irregular base</t>
  </si>
  <si>
    <t>closed form</t>
  </si>
  <si>
    <t>rim and body sherds</t>
  </si>
  <si>
    <t>22,18</t>
  </si>
  <si>
    <t>Yw</t>
  </si>
  <si>
    <t>6</t>
  </si>
  <si>
    <t>light yellow slip under glaze, dirty buff slip on exterior. Glaze is patchy</t>
  </si>
  <si>
    <t>everted, squared</t>
  </si>
  <si>
    <t>BD?</t>
  </si>
  <si>
    <t>buff slip under glaze, dirty buff slip on exterior. Glaze is patchy</t>
  </si>
  <si>
    <t>R?</t>
  </si>
  <si>
    <t>light yellow slip under glaze, pink buff slip on exterior. Glaze is patchy</t>
  </si>
  <si>
    <t>everted, simple</t>
  </si>
  <si>
    <t>medium storage jar?</t>
  </si>
  <si>
    <t>BDB/BDC</t>
  </si>
  <si>
    <t>169,7</t>
  </si>
  <si>
    <t>1,3</t>
  </si>
  <si>
    <t>3a</t>
  </si>
  <si>
    <t>BDA,BD</t>
  </si>
  <si>
    <t>24,16,13,10,8,5,5,1,1</t>
  </si>
  <si>
    <t>8,2</t>
  </si>
  <si>
    <t>5,2,3x1</t>
  </si>
  <si>
    <t>handled fine medium jar</t>
  </si>
  <si>
    <t>5,3</t>
  </si>
  <si>
    <t>1,1</t>
  </si>
  <si>
    <t>in line with vessel sides, internally thickened to create flat top</t>
  </si>
  <si>
    <t>bowl/pancheon?</t>
  </si>
  <si>
    <t>too small</t>
  </si>
  <si>
    <t>6,1</t>
  </si>
  <si>
    <t>in line with vessel sides, lid seated</t>
  </si>
  <si>
    <t>Base of a pancheon, heavily abraded and pitted on exterior</t>
  </si>
  <si>
    <t>3,3</t>
  </si>
  <si>
    <t>see end</t>
  </si>
  <si>
    <t>simple, slightly clubbed externally</t>
  </si>
  <si>
    <t>TGE</t>
  </si>
  <si>
    <t>MangMottled</t>
  </si>
  <si>
    <t>East Curtain</t>
  </si>
  <si>
    <t>buff slip on exterior, no slip under glaze</t>
  </si>
  <si>
    <t>unslipped?</t>
  </si>
  <si>
    <t>slight horizontal ridge</t>
  </si>
  <si>
    <t>47,17</t>
  </si>
  <si>
    <t>8</t>
  </si>
  <si>
    <t>everted, lid seated</t>
  </si>
  <si>
    <t>bowl/pancheon</t>
  </si>
  <si>
    <t>BDL,BDZ,BD</t>
  </si>
  <si>
    <t>106,91,60,56,40,83</t>
  </si>
  <si>
    <t>1,2,3</t>
  </si>
  <si>
    <t>BGCw</t>
  </si>
  <si>
    <t>glossier and a dark brown on interior, externally glaze extends to base but underside is unglazed</t>
  </si>
  <si>
    <t>medium storage jar/cistern</t>
  </si>
  <si>
    <t>handle stump and body sherd</t>
  </si>
  <si>
    <t>98,16</t>
  </si>
  <si>
    <t>body sherds and base</t>
  </si>
  <si>
    <t>15,10,6</t>
  </si>
  <si>
    <t>42,14,13,12</t>
  </si>
  <si>
    <t>1 lug</t>
  </si>
  <si>
    <t>Lugs</t>
  </si>
  <si>
    <t>square profile</t>
  </si>
  <si>
    <t>61,15,4</t>
  </si>
  <si>
    <t>thinner and lighter brown on interior</t>
  </si>
  <si>
    <t>11,9</t>
  </si>
  <si>
    <t>21,2</t>
  </si>
  <si>
    <t>BDK</t>
  </si>
  <si>
    <t>prominent horizontal ridge</t>
  </si>
  <si>
    <t>BDE/BDF</t>
  </si>
  <si>
    <t>upper profile</t>
  </si>
  <si>
    <t>68,31,18,16,7</t>
  </si>
  <si>
    <t>upright, clubbed externally</t>
  </si>
  <si>
    <t>AD</t>
  </si>
  <si>
    <t>157,50,47,39,23,22,20,19,18,9</t>
  </si>
  <si>
    <t>10</t>
  </si>
  <si>
    <t>7,3</t>
  </si>
  <si>
    <t>slightly everted and clubbed externally</t>
  </si>
  <si>
    <t>rim and handle stump</t>
  </si>
  <si>
    <t>underside of handle unglazed</t>
  </si>
  <si>
    <t>ridge off-centre towards left of handle</t>
  </si>
  <si>
    <t>wide-mouthed cup</t>
  </si>
  <si>
    <t>handle stumps</t>
  </si>
  <si>
    <t>8,7</t>
  </si>
  <si>
    <t>8,5,2</t>
  </si>
  <si>
    <t>raised ridge below rim</t>
  </si>
  <si>
    <t>c.130</t>
  </si>
  <si>
    <t>simple</t>
  </si>
  <si>
    <t>c.90</t>
  </si>
  <si>
    <t>18,8,5</t>
  </si>
  <si>
    <t>7,6,4,4,3,3,3,1</t>
  </si>
  <si>
    <t>8x1</t>
  </si>
  <si>
    <t>15,15,11,10,6,6,5,4,2,1</t>
  </si>
  <si>
    <t>10x1</t>
  </si>
  <si>
    <t>23,12,12,12,11,5,4,4,4,3,3,1</t>
  </si>
  <si>
    <t>12x1</t>
  </si>
  <si>
    <t>3,3,2</t>
  </si>
  <si>
    <t>ridge towards right of handle</t>
  </si>
  <si>
    <t>handled fine jar/wide mouthed cup</t>
  </si>
  <si>
    <t>clubbed externally, flat topped</t>
  </si>
  <si>
    <t>c.150</t>
  </si>
  <si>
    <t>3b</t>
  </si>
  <si>
    <t>rim and body sherd</t>
  </si>
  <si>
    <t>6,3,1</t>
  </si>
  <si>
    <t>3+2</t>
  </si>
  <si>
    <t>c.250</t>
  </si>
  <si>
    <t>everted</t>
  </si>
  <si>
    <t>dark red slip on exterior, white slip under glaze</t>
  </si>
  <si>
    <t>thin off-white slip under glaze, orange-red patches on interior where slip is thinner/non-existent</t>
  </si>
  <si>
    <t xml:space="preserve">AD </t>
  </si>
  <si>
    <t>118,27,22,21,20,15,12,95,4</t>
  </si>
  <si>
    <t>11</t>
  </si>
  <si>
    <t>medium heavy duty storage jar/cistern</t>
  </si>
  <si>
    <t>7,4</t>
  </si>
  <si>
    <t>31,28</t>
  </si>
  <si>
    <t>32,13</t>
  </si>
  <si>
    <t>Y</t>
  </si>
  <si>
    <t>handled medium storage jar/cistern</t>
  </si>
  <si>
    <t>45,43,18,12</t>
  </si>
  <si>
    <t>c.190</t>
  </si>
  <si>
    <t>everted, externally clubbed with squared edge</t>
  </si>
  <si>
    <t>41,41</t>
  </si>
  <si>
    <t>slightly everted, clubbed externally</t>
  </si>
  <si>
    <t>Rw</t>
  </si>
  <si>
    <t>14</t>
  </si>
  <si>
    <t>AE</t>
  </si>
  <si>
    <t>2,1</t>
  </si>
  <si>
    <t>stacking mark on base</t>
  </si>
  <si>
    <t>47,6</t>
  </si>
  <si>
    <t>AA</t>
  </si>
  <si>
    <t>101,8</t>
  </si>
  <si>
    <t>11,2,2,2</t>
  </si>
  <si>
    <t>22,21,4</t>
  </si>
  <si>
    <t>BGCw2</t>
  </si>
  <si>
    <t>Wrenthorpe handle stump</t>
  </si>
  <si>
    <t>10,6</t>
  </si>
  <si>
    <t>rims</t>
  </si>
  <si>
    <t>horizontal ridge below rim</t>
  </si>
  <si>
    <t>handle stump and handle</t>
  </si>
  <si>
    <t>16,4</t>
  </si>
  <si>
    <t>underside of handle glazed</t>
  </si>
  <si>
    <t>lug</t>
  </si>
  <si>
    <t>handle stump and body sherds</t>
  </si>
  <si>
    <t>46,22,10,2</t>
  </si>
  <si>
    <t>4,2x1</t>
  </si>
  <si>
    <t>flask</t>
  </si>
  <si>
    <t>very slight</t>
  </si>
  <si>
    <t>64,12,8</t>
  </si>
  <si>
    <t>21,9,6,4,4,4,4,3,3,3,3,2,2,2,2,1,1,1,1,1,1</t>
  </si>
  <si>
    <t>21x1</t>
  </si>
  <si>
    <t>12,7,6,6,5,5,4</t>
  </si>
  <si>
    <t>9,5,4,3,3,3,2,2,1,1</t>
  </si>
  <si>
    <t>3,7x1</t>
  </si>
  <si>
    <t>6,2</t>
  </si>
  <si>
    <t>heavily scuffed, thin on underside</t>
  </si>
  <si>
    <t>lid?</t>
  </si>
  <si>
    <t>base, rim and body sherds</t>
  </si>
  <si>
    <t>97,66,37,29</t>
  </si>
  <si>
    <t>c.180</t>
  </si>
  <si>
    <t>dirty brown slip on exterior, no slip under glaze</t>
  </si>
  <si>
    <t>9,5</t>
  </si>
  <si>
    <t>upright, externally clubbed</t>
  </si>
  <si>
    <t>7,5,3</t>
  </si>
  <si>
    <t>slight wide groove on top of handle, pointed underside</t>
  </si>
  <si>
    <t>everted, slightly lid seated</t>
  </si>
  <si>
    <t>n, but discolouration around break suggestive of being subjected to heat</t>
  </si>
  <si>
    <t>fine small jar</t>
  </si>
  <si>
    <t>n, but discolouration around base suggestive of being subjected to heat</t>
  </si>
  <si>
    <t>upright, slight external thickening. See Fig96.94 but finer.</t>
  </si>
  <si>
    <t>n, but bubbled glaze appears to have been subjected to heat</t>
  </si>
  <si>
    <t>2 type</t>
  </si>
  <si>
    <t>AB</t>
  </si>
  <si>
    <t>Springs from rim</t>
  </si>
  <si>
    <t>fine handled medium jar</t>
  </si>
  <si>
    <t>4,2,1</t>
  </si>
  <si>
    <t>slight stump</t>
  </si>
  <si>
    <t>15,5,4,4,3,2,2,2</t>
  </si>
  <si>
    <t>2,2,1,1,1</t>
  </si>
  <si>
    <t>5x1</t>
  </si>
  <si>
    <t>BW</t>
  </si>
  <si>
    <t>complete profile</t>
  </si>
  <si>
    <t>26,3,1</t>
  </si>
  <si>
    <t xml:space="preserve">albarello </t>
  </si>
  <si>
    <t>slight sooting on base</t>
  </si>
  <si>
    <t>Garden</t>
  </si>
  <si>
    <t>garden furniture</t>
  </si>
  <si>
    <t>MP</t>
  </si>
  <si>
    <t>AC</t>
  </si>
  <si>
    <t>very slight stump if this is the case</t>
  </si>
  <si>
    <t>handle springs from rim</t>
  </si>
  <si>
    <t>heavy duty handled jar</t>
  </si>
  <si>
    <t>7,5,4,3,2,2,2,1,1</t>
  </si>
  <si>
    <t>2,7x1</t>
  </si>
  <si>
    <t>7,2</t>
  </si>
  <si>
    <t>ridge below rim</t>
  </si>
  <si>
    <t>heavy duty jar/cistern</t>
  </si>
  <si>
    <t>BGCw/MP</t>
  </si>
  <si>
    <t>heavy duty cistern</t>
  </si>
  <si>
    <t>32,24</t>
  </si>
  <si>
    <t>handled non-fine vessel</t>
  </si>
  <si>
    <t>Q</t>
  </si>
  <si>
    <t>R/W</t>
  </si>
  <si>
    <t>127,20,17</t>
  </si>
  <si>
    <t>W</t>
  </si>
  <si>
    <t>n, but sherd is heavily burnt and discoloured</t>
  </si>
  <si>
    <t>no basal pedestal</t>
  </si>
  <si>
    <t>31,14,12</t>
  </si>
  <si>
    <t>raised ridge down centre of handle</t>
  </si>
  <si>
    <t>thin on interior and less metallic</t>
  </si>
  <si>
    <t>handled heavy-duty vessel</t>
  </si>
  <si>
    <t>everted, flat topped</t>
  </si>
  <si>
    <t>V</t>
  </si>
  <si>
    <t>AK</t>
  </si>
  <si>
    <t>64,41</t>
  </si>
  <si>
    <t>handle and body sherds</t>
  </si>
  <si>
    <t>15,10,5,3,3,2</t>
  </si>
  <si>
    <t>1,5</t>
  </si>
  <si>
    <t>5,1</t>
  </si>
  <si>
    <t>slight ridge to right of handle</t>
  </si>
  <si>
    <t>4,3,1</t>
  </si>
  <si>
    <t>very slight handle stump fragment</t>
  </si>
  <si>
    <t>everted, slightly chamfered edge</t>
  </si>
  <si>
    <t>13,7</t>
  </si>
  <si>
    <t>everted, very slight clubbing externally</t>
  </si>
  <si>
    <t>9,8,4,1</t>
  </si>
  <si>
    <t>31,21</t>
  </si>
  <si>
    <t>Triangular section</t>
  </si>
  <si>
    <t>9,3</t>
  </si>
  <si>
    <t>Ridge off-centre towards left of handle</t>
  </si>
  <si>
    <t>7,5,3,3,2,2</t>
  </si>
  <si>
    <t>6x1</t>
  </si>
  <si>
    <t>scuffed on throwing ridges on exterior</t>
  </si>
  <si>
    <t>7,7,5,4,4,3,3,3,1,1,1</t>
  </si>
  <si>
    <t>2,9x1</t>
  </si>
  <si>
    <t>Slight ridge off-centre towards right of handle</t>
  </si>
  <si>
    <t>heavy duty handled vessel</t>
  </si>
  <si>
    <t>c.200</t>
  </si>
  <si>
    <t>19,7,4,3</t>
  </si>
  <si>
    <t>5,4,4,4</t>
  </si>
  <si>
    <t>clubbed externally with chamfered rim</t>
  </si>
  <si>
    <t>slight ridge down centre of handle</t>
  </si>
  <si>
    <t>12,3</t>
  </si>
  <si>
    <t>13,9,3,2</t>
  </si>
  <si>
    <t>9,6</t>
  </si>
  <si>
    <t>13,5</t>
  </si>
  <si>
    <t>handle not straight- goes from top left to bottom right. Slight groove down centre of handle</t>
  </si>
  <si>
    <t>both scars for handle present- quite a small span (26mm between scars)</t>
  </si>
  <si>
    <t>white slip under glaze, dark red slip on exterior</t>
  </si>
  <si>
    <t>moderate sooting on exterior</t>
  </si>
  <si>
    <t>white slip under glaze, red slip on exterior</t>
  </si>
  <si>
    <t>Slight groove on top of handle, very thick rod.</t>
  </si>
  <si>
    <t xml:space="preserve">black mottling </t>
  </si>
  <si>
    <t>R</t>
  </si>
  <si>
    <t>75,32</t>
  </si>
  <si>
    <t>full profile</t>
  </si>
  <si>
    <t>very edge missing</t>
  </si>
  <si>
    <t>stump</t>
  </si>
  <si>
    <t>Stump handle for lid</t>
  </si>
  <si>
    <t>222, 38,22,21,20</t>
  </si>
  <si>
    <t>large drinking vessel?</t>
  </si>
  <si>
    <t>c.110</t>
  </si>
  <si>
    <t>leg</t>
  </si>
  <si>
    <t>Leg stump</t>
  </si>
  <si>
    <t>none</t>
  </si>
  <si>
    <t>80,17,5</t>
  </si>
  <si>
    <t>37,24</t>
  </si>
  <si>
    <t>Cw/Bw</t>
  </si>
  <si>
    <t>73,62,44,34</t>
  </si>
  <si>
    <t>34,19,16,15,9,3</t>
  </si>
  <si>
    <t>slight burst bubbles in glaze</t>
  </si>
  <si>
    <t>26,22,15,8</t>
  </si>
  <si>
    <t>scuffed on exterior</t>
  </si>
  <si>
    <t>body sherd and handle</t>
  </si>
  <si>
    <t>20,8</t>
  </si>
  <si>
    <t>slight indentation at top of handle</t>
  </si>
  <si>
    <t>6,4</t>
  </si>
  <si>
    <t>13,10,9,6</t>
  </si>
  <si>
    <t>9,6,3</t>
  </si>
  <si>
    <t>two patchy on interior, other chocolate brown with black mottling</t>
  </si>
  <si>
    <t>13,9,6,4,4,2</t>
  </si>
  <si>
    <t>Uneven on exterior and transforms from black to purple, on interior dark brown and less metallic</t>
  </si>
  <si>
    <t>8,8,7,5,4</t>
  </si>
  <si>
    <t>16,10,9,7,5,4</t>
  </si>
  <si>
    <t>heavily blistered and burnt</t>
  </si>
  <si>
    <t>y?</t>
  </si>
  <si>
    <t>unslipped</t>
  </si>
  <si>
    <t>around 250mm wide, everted, internally slight clubbing</t>
  </si>
  <si>
    <t>moderately flat top, handle springs from rim</t>
  </si>
  <si>
    <t>60,8</t>
  </si>
  <si>
    <t>upright with internal lid seating</t>
  </si>
  <si>
    <t>medium storage jar</t>
  </si>
  <si>
    <t>10,5</t>
  </si>
  <si>
    <t>rim, handle and body sherd</t>
  </si>
  <si>
    <t>155,95,41,7</t>
  </si>
  <si>
    <t>4,1</t>
  </si>
  <si>
    <t>ridge off-centre towards left of handle with groove immediately to right</t>
  </si>
  <si>
    <t xml:space="preserve">large handled storage vessel </t>
  </si>
  <si>
    <t>55,12,8,5</t>
  </si>
  <si>
    <t>3,2x1</t>
  </si>
  <si>
    <t>grooved ridge down centre of handle</t>
  </si>
  <si>
    <t>everted, slight internal seating</t>
  </si>
  <si>
    <t>underside of handle has a few spots only</t>
  </si>
  <si>
    <t>thin strap with rounded top</t>
  </si>
  <si>
    <t>65,27</t>
  </si>
  <si>
    <t>P</t>
  </si>
  <si>
    <t>half profile</t>
  </si>
  <si>
    <t>slight groove down centre of handle</t>
  </si>
  <si>
    <t>light sooting on underside of base</t>
  </si>
  <si>
    <t>upright, slightly clubbed externally</t>
  </si>
  <si>
    <t>triangular cross-section</t>
  </si>
  <si>
    <t>37,11,7,5</t>
  </si>
  <si>
    <t>28,2,2</t>
  </si>
  <si>
    <t>8,7,6</t>
  </si>
  <si>
    <t>75,34</t>
  </si>
  <si>
    <t>7,6,3</t>
  </si>
  <si>
    <t>15,9</t>
  </si>
  <si>
    <t>c.170</t>
  </si>
  <si>
    <t>everted, slightly clubbed externally to form slight ridge</t>
  </si>
  <si>
    <t>handle?</t>
  </si>
  <si>
    <t>everted, externally clubbed</t>
  </si>
  <si>
    <t>heavy duty handled jar/cistern</t>
  </si>
  <si>
    <t>Large thumb impression on stump</t>
  </si>
  <si>
    <t>CW/P</t>
  </si>
  <si>
    <t>simple handle attachment</t>
  </si>
  <si>
    <t>Cw type 4 drinking vessel</t>
  </si>
  <si>
    <t>rounded top, handle springs from rim</t>
  </si>
  <si>
    <t>wide mouthed cup</t>
  </si>
  <si>
    <t>very slight scar</t>
  </si>
  <si>
    <t>jug/jar</t>
  </si>
  <si>
    <t>24,16,9,9,8,6,3</t>
  </si>
  <si>
    <t>Handle off-centre sloping top left to bottom right, ridge down centre of handle off-centre towards left</t>
  </si>
  <si>
    <t>37,2</t>
  </si>
  <si>
    <t>2,1,1,1,1</t>
  </si>
  <si>
    <t>glossier on interior</t>
  </si>
  <si>
    <t>5 type</t>
  </si>
  <si>
    <t>CW/R</t>
  </si>
  <si>
    <t>handle off-centre sloping top left to bottom right, ridge down centre of handle</t>
  </si>
  <si>
    <t>9,7</t>
  </si>
  <si>
    <t>41,20,7</t>
  </si>
  <si>
    <t>c.155</t>
  </si>
  <si>
    <t>upright, clubbed externally with slight lid seating internally</t>
  </si>
  <si>
    <t>R/T</t>
  </si>
  <si>
    <t>181,41,35</t>
  </si>
  <si>
    <t>heavy duty storage jar/cistern</t>
  </si>
  <si>
    <t>R,T</t>
  </si>
  <si>
    <t>42, 34,16,15,14,12,10,10,10,7,7,5,4,3,3,2</t>
  </si>
  <si>
    <t>16,1,1</t>
  </si>
  <si>
    <t>9,2,7x1</t>
  </si>
  <si>
    <t>Slight scar</t>
  </si>
  <si>
    <t>YY, Z</t>
  </si>
  <si>
    <t>11 type</t>
  </si>
  <si>
    <t>CW/P-Q</t>
  </si>
  <si>
    <t>handle and body sherd</t>
  </si>
  <si>
    <t>Odd 'Welsh harp' shaped handle</t>
  </si>
  <si>
    <t>7,2,2</t>
  </si>
  <si>
    <t xml:space="preserve"> </t>
  </si>
  <si>
    <t>CW/P-Q, CW/P</t>
  </si>
  <si>
    <t>136,128,28,15</t>
  </si>
  <si>
    <t>2,2,2</t>
  </si>
  <si>
    <t>light sooting on base</t>
  </si>
  <si>
    <t>P/W</t>
  </si>
  <si>
    <t>196,41</t>
  </si>
  <si>
    <t>everted with external clubbing below rim, see Fig97.118 for similar rim in different fabric</t>
  </si>
  <si>
    <t>CW/X</t>
  </si>
  <si>
    <t>rim and handle</t>
  </si>
  <si>
    <t>Handle off-centre, slopes top left to bottom right, ridge down centre of handle</t>
  </si>
  <si>
    <t>26,11</t>
  </si>
  <si>
    <t>Simple handle attachment</t>
  </si>
  <si>
    <t>DBN/AM</t>
  </si>
  <si>
    <t>48,33,18,16,10</t>
  </si>
  <si>
    <t>15,6,6</t>
  </si>
  <si>
    <t>very slight ridge, handle springs from rim</t>
  </si>
  <si>
    <t>handled fine bowl</t>
  </si>
  <si>
    <t>CY/YY</t>
  </si>
  <si>
    <t>59,28</t>
  </si>
  <si>
    <t>c.160</t>
  </si>
  <si>
    <t>CWX/Q</t>
  </si>
  <si>
    <t>CWX/AB</t>
  </si>
  <si>
    <t>CWX/T</t>
  </si>
  <si>
    <t>12,10</t>
  </si>
  <si>
    <t>DBN</t>
  </si>
  <si>
    <t>3 type</t>
  </si>
  <si>
    <t>light buff slip under glaze, patchy on pedestal</t>
  </si>
  <si>
    <t>salt</t>
  </si>
  <si>
    <t>AKX</t>
  </si>
  <si>
    <t>lower profile?</t>
  </si>
  <si>
    <t xml:space="preserve">Bw </t>
  </si>
  <si>
    <t>completely unglazed</t>
  </si>
  <si>
    <t>T</t>
  </si>
  <si>
    <t>34,28,22,19,16,12,4</t>
  </si>
  <si>
    <t>very slight groove on tope of handle</t>
  </si>
  <si>
    <t>ridge slanting from top right to bottom left of handle</t>
  </si>
  <si>
    <t>albarello?</t>
  </si>
  <si>
    <t>52,13</t>
  </si>
  <si>
    <t>Cw?</t>
  </si>
  <si>
    <t>9,7,2,2,1</t>
  </si>
  <si>
    <t>15,10</t>
  </si>
  <si>
    <t>34,23,23,8</t>
  </si>
  <si>
    <t>light buff slip under glaze, patchy on interior and exterior</t>
  </si>
  <si>
    <t>very slight handle stump</t>
  </si>
  <si>
    <t>handled vessel</t>
  </si>
  <si>
    <t>buff slip on exterior and under glaze, spots of glaze on underside of base</t>
  </si>
  <si>
    <t>c.140</t>
  </si>
  <si>
    <t>upright, clubbed</t>
  </si>
  <si>
    <t>handled jar/cistern</t>
  </si>
  <si>
    <t>upright, clubbed externally with slight internal clubbing (although not so pronounced to be a hammerhead rim)</t>
  </si>
  <si>
    <t>groove down handles centre</t>
  </si>
  <si>
    <t>13,11</t>
  </si>
  <si>
    <t>56,20,5</t>
  </si>
  <si>
    <t>flattened top, slightly hammerhead in profile</t>
  </si>
  <si>
    <t>various</t>
  </si>
  <si>
    <t>Med</t>
  </si>
  <si>
    <t>MDX</t>
  </si>
  <si>
    <t>3,3,2,2,2,1,1,1</t>
  </si>
  <si>
    <t>11,4,2,1</t>
  </si>
  <si>
    <t>albarello</t>
  </si>
  <si>
    <t>53,18</t>
  </si>
  <si>
    <t>2,3</t>
  </si>
  <si>
    <t>upright, everted</t>
  </si>
  <si>
    <t>6,3,3,2,1</t>
  </si>
  <si>
    <t>109,36,9,7,3,2</t>
  </si>
  <si>
    <t>no pedestal to base</t>
  </si>
  <si>
    <t>medium drinking vessel</t>
  </si>
  <si>
    <t>54,10,7,6,3</t>
  </si>
  <si>
    <t>1,2,1,1</t>
  </si>
  <si>
    <t>50+5</t>
  </si>
  <si>
    <t>85,72,4,2</t>
  </si>
  <si>
    <t>unevenly thrown, irregular base</t>
  </si>
  <si>
    <t>24,10,7,6,4,4,3</t>
  </si>
  <si>
    <t>2,6</t>
  </si>
  <si>
    <t>3,2,3x1</t>
  </si>
  <si>
    <t>Lug hole for costrel, scar only remaining</t>
  </si>
  <si>
    <t>springs from rim, ridge off-centre towards right of handle</t>
  </si>
  <si>
    <t>raised ridge below handle</t>
  </si>
  <si>
    <t>Wrenthorpe fingermarks very unevenly applied</t>
  </si>
  <si>
    <t>4,4</t>
  </si>
  <si>
    <t>2,2,1</t>
  </si>
  <si>
    <t>handle missing, but Wrenthorpe stump</t>
  </si>
  <si>
    <t>flat top down handle</t>
  </si>
  <si>
    <t>ridge off-centre towards right of handle</t>
  </si>
  <si>
    <t>no handle remaining</t>
  </si>
  <si>
    <t>16,14,11,7,7,7,5,5,5,4,4,4,3,3,2,1,1,1,1,1</t>
  </si>
  <si>
    <t>20x1</t>
  </si>
  <si>
    <t>18,14,13,13,11,10,10,10,8,6,5,5,5,5,4,4,4,3,3,2,1,1,1</t>
  </si>
  <si>
    <t>2,20x1</t>
  </si>
  <si>
    <t>ridge off-centre towards left of handle. Poorly made handle, uneven.</t>
  </si>
  <si>
    <t>15,9,8,6,5,4,4,4,4,3,3,3,2,1,1,1</t>
  </si>
  <si>
    <t>16x1</t>
  </si>
  <si>
    <t>handle and handle stump</t>
  </si>
  <si>
    <t>flat top, small handle</t>
  </si>
  <si>
    <t>flattened top, clubbed externally</t>
  </si>
  <si>
    <t>no handle remaining. 2 large thumb impressions on handle attachment</t>
  </si>
  <si>
    <t>85,55,31,30,27,25,22,19,17,17,13,11,10,7,7,6,6,5,4,3</t>
  </si>
  <si>
    <t>2x2,16x1</t>
  </si>
  <si>
    <t>rim and handle stumps</t>
  </si>
  <si>
    <t>48,46,45,45,43,36,15,10,4</t>
  </si>
  <si>
    <t>1,8</t>
  </si>
  <si>
    <t>45+15</t>
  </si>
  <si>
    <t>raise ridge towards right of handles at least one not parallel to rim- attachment slopes from top left to bottom right</t>
  </si>
  <si>
    <t>medium handled storage jar/cistern</t>
  </si>
  <si>
    <t>2,1,1</t>
  </si>
  <si>
    <t>light pink slip under glaze extending over rim, exterior has light buff slip</t>
  </si>
  <si>
    <t>slightly lid seated</t>
  </si>
  <si>
    <t>9,8,7</t>
  </si>
  <si>
    <t>only slight stump</t>
  </si>
  <si>
    <t>11,9,9,2</t>
  </si>
  <si>
    <t>1 type</t>
  </si>
  <si>
    <t>23,10,8,3,1,1,1</t>
  </si>
  <si>
    <t>297,76,75,69,65,47,46,37</t>
  </si>
  <si>
    <t>large storage jar/cistern</t>
  </si>
  <si>
    <t>jug?</t>
  </si>
  <si>
    <t>91,38,8</t>
  </si>
  <si>
    <t>med</t>
  </si>
  <si>
    <t>9,8,5</t>
  </si>
  <si>
    <t>small fine jar</t>
  </si>
  <si>
    <t>only slight evidence of scar</t>
  </si>
  <si>
    <t>15,8</t>
  </si>
  <si>
    <t>MG</t>
  </si>
  <si>
    <t>277,201,81,77,70,60,37,35,35,23,19,19,18,16,11,10,10,9,8,7,7,1</t>
  </si>
  <si>
    <t>25,4</t>
  </si>
  <si>
    <t>jug</t>
  </si>
  <si>
    <t>Double handle scar evident</t>
  </si>
  <si>
    <t>Possibly marked with Wrenthorpe triple fingermarks, but not enough remains to be sure</t>
  </si>
  <si>
    <t>fine handled jar</t>
  </si>
  <si>
    <t>14,13,11,11,9,9,8,6,6,5,5,5,4,4,3,3,3,3,2,2,2,2,2,1,1,1,1,1,1,1,1,1</t>
  </si>
  <si>
    <t>15</t>
  </si>
  <si>
    <t>2,2,30x1</t>
  </si>
  <si>
    <t>104,9</t>
  </si>
  <si>
    <t>MK</t>
  </si>
  <si>
    <t>271,4</t>
  </si>
  <si>
    <t>rolled handles, simple attachments to vessel</t>
  </si>
  <si>
    <t>51,32,13,10,5,4</t>
  </si>
  <si>
    <t>simple handle attachments to vessel</t>
  </si>
  <si>
    <t>several parallel ridges on upper body of vessel</t>
  </si>
  <si>
    <t>no fragment of handle remaining, just Wrenthorpe impression</t>
  </si>
  <si>
    <t>heavy duty storage vessel</t>
  </si>
  <si>
    <t>raised parallel ridges below rim</t>
  </si>
  <si>
    <t xml:space="preserve">rod </t>
  </si>
  <si>
    <t>12,7,6,6,6,6,4,4,3,3,3,3,2,2,2,2,2,2,1,1,1,1,1,1,1,1,1,1</t>
  </si>
  <si>
    <t>13</t>
  </si>
  <si>
    <t>27x1</t>
  </si>
  <si>
    <t>Cw globular drinking vessel</t>
  </si>
  <si>
    <t>lug hole</t>
  </si>
  <si>
    <t>Stump of lug hole remains</t>
  </si>
  <si>
    <t>15,9,9,8,5,2,2,2</t>
  </si>
  <si>
    <t>2,2,2,2x1</t>
  </si>
  <si>
    <t>clubbed externally</t>
  </si>
  <si>
    <t>light buff slip under glaze</t>
  </si>
  <si>
    <t>upright, slightly lid seated</t>
  </si>
  <si>
    <t>18,12,7,5,4,3,3</t>
  </si>
  <si>
    <t>2,6x1</t>
  </si>
  <si>
    <t>irregular base</t>
  </si>
  <si>
    <t>16,15,7,6,3,2,1</t>
  </si>
  <si>
    <t>Could be a lug hole or a handle stump, too fragmentary to ascertain</t>
  </si>
  <si>
    <t>42,42,41,14,12,4,3</t>
  </si>
  <si>
    <t>MK/MF/MH</t>
  </si>
  <si>
    <t>30,24,16,10,10,3</t>
  </si>
  <si>
    <t>2,4,1</t>
  </si>
  <si>
    <t>lug holes</t>
  </si>
  <si>
    <t>Lug holes opposite each other on shoulder of vessel with Wrenthorpe finger marks on attachment</t>
  </si>
  <si>
    <t>MD/MK</t>
  </si>
  <si>
    <t>61,9,8,6,6,5,4,</t>
  </si>
  <si>
    <t>1,5,2</t>
  </si>
  <si>
    <t>Wrenthorpe fingermarks</t>
  </si>
  <si>
    <t>64,13</t>
  </si>
  <si>
    <t>Simple handle attachment near base of vessel</t>
  </si>
  <si>
    <t>MF</t>
  </si>
  <si>
    <t>Wrenthorpe attachment only present</t>
  </si>
  <si>
    <t>Fragment of handle attachment only</t>
  </si>
  <si>
    <t>MF/MH</t>
  </si>
  <si>
    <t>26,23,16,10,10,4,3</t>
  </si>
  <si>
    <t>Handle scar present, but has been partially glazed over suggesting was a flaw in the manufacturing process which was masked by glaze, although slight bubbling on break of sherd may suggest an alternative handle was attached</t>
  </si>
  <si>
    <t>7,6</t>
  </si>
  <si>
    <t>Slight fragment of handle attachment only</t>
  </si>
  <si>
    <t>6,3,3,1</t>
  </si>
  <si>
    <t>Inverted triangular profile to handle (point on underside)</t>
  </si>
  <si>
    <t>13,12</t>
  </si>
  <si>
    <t>Ridge on top of handle</t>
  </si>
  <si>
    <t>133,21,17</t>
  </si>
  <si>
    <t>1,2,1</t>
  </si>
  <si>
    <t>4 handles on basis of spacing of other 3</t>
  </si>
  <si>
    <t>Lug hole from a costrel</t>
  </si>
  <si>
    <t>MB/MF</t>
  </si>
  <si>
    <t>Ridge off-centre towards right of handle, very rounded (as opposed to elongated) form</t>
  </si>
  <si>
    <t>Ridge off-centre towards right of handle</t>
  </si>
  <si>
    <t>6,5,2,2,1,1</t>
  </si>
  <si>
    <t>15,11,5,4,3,3,2,1</t>
  </si>
  <si>
    <t>Scar only remaining</t>
  </si>
  <si>
    <t>upright, slight external clubbing</t>
  </si>
  <si>
    <t>medium jar</t>
  </si>
  <si>
    <t>4`</t>
  </si>
  <si>
    <t>31,27,13</t>
  </si>
  <si>
    <t>475,393,348,264,250,99,83,78,24,22,9</t>
  </si>
  <si>
    <t>5,5,27</t>
  </si>
  <si>
    <t>3 lower handle attachments only.</t>
  </si>
  <si>
    <t>SC65</t>
  </si>
  <si>
    <t>24,7</t>
  </si>
  <si>
    <t>medium albarello</t>
  </si>
  <si>
    <t>lower profile and rim</t>
  </si>
  <si>
    <t>132,6</t>
  </si>
  <si>
    <t>1,1,7</t>
  </si>
  <si>
    <t>19,9</t>
  </si>
  <si>
    <t>clubbed externally, in line with vessel walls</t>
  </si>
  <si>
    <t>MH</t>
  </si>
  <si>
    <t>137,27,5</t>
  </si>
  <si>
    <t>Fragments of handle attachments only</t>
  </si>
  <si>
    <t>9,7,6,6,6,3,2</t>
  </si>
  <si>
    <t>24,13,12,9</t>
  </si>
  <si>
    <t>Only slight trace of one of the stumps</t>
  </si>
  <si>
    <t>17,14,5</t>
  </si>
  <si>
    <t>Triangular handle in section</t>
  </si>
  <si>
    <t>Raised ridge down centre of handle</t>
  </si>
  <si>
    <t>handle stump and rim</t>
  </si>
  <si>
    <t>slightly everted with slight external thickening</t>
  </si>
  <si>
    <t>Raised ridge off-centre towards right of handle. Handle springs upwards from rim</t>
  </si>
  <si>
    <t>Ridge down centre of handle</t>
  </si>
  <si>
    <t>Wrenthorpe handle scar only remaining</t>
  </si>
  <si>
    <t>Slight scar only</t>
  </si>
  <si>
    <t>rounded top to handle</t>
  </si>
  <si>
    <t>4,3</t>
  </si>
  <si>
    <t>Slight ridge only on handle</t>
  </si>
  <si>
    <t>simple, too fragmentary to tell if everted</t>
  </si>
  <si>
    <t>simple, everted to perpendicular from vessel walls</t>
  </si>
  <si>
    <t>16,10,9,9,9,7,7,7,6,6,6,6,6,5,5,4,3,3,3,3,2,2,2,1,1,1,1,</t>
  </si>
  <si>
    <t>13,8,8,6,6,5,4,4,3,2,1</t>
  </si>
  <si>
    <t>11x1</t>
  </si>
  <si>
    <t>12,4,3,2</t>
  </si>
  <si>
    <t>3,2,1,1</t>
  </si>
  <si>
    <t>MD</t>
  </si>
  <si>
    <t>44,12,11,2</t>
  </si>
  <si>
    <t>Small handle, simple attachment although may be attempt to use Wrenthorpe finger marks as visible very faintly</t>
  </si>
  <si>
    <t>simple, possibly slightly everted</t>
  </si>
  <si>
    <t>Fragment of stump only, simple attachment</t>
  </si>
  <si>
    <t>14,3,1,1</t>
  </si>
  <si>
    <t>9,6,5,4,4,3,2,2,1,1,1,1</t>
  </si>
  <si>
    <t>lug hole and body sherds</t>
  </si>
  <si>
    <t>17,4</t>
  </si>
  <si>
    <t>17,4,2</t>
  </si>
  <si>
    <t>74,7</t>
  </si>
  <si>
    <t>Slight groove down centre of handle</t>
  </si>
  <si>
    <t>21,19,14,14,12,11,10,6,6,5,4,4,4,4,3,2,2</t>
  </si>
  <si>
    <t>17x1</t>
  </si>
  <si>
    <t>base?</t>
  </si>
  <si>
    <t>11,10</t>
  </si>
  <si>
    <t>12 type</t>
  </si>
  <si>
    <t>slightly lid-seated</t>
  </si>
  <si>
    <t>open form</t>
  </si>
  <si>
    <t>9,7,1</t>
  </si>
  <si>
    <t>Yw?</t>
  </si>
  <si>
    <t>Bw2</t>
  </si>
  <si>
    <t>8-12</t>
  </si>
  <si>
    <t>slight stacking mark on rim</t>
  </si>
  <si>
    <t>9,5,1,1,1</t>
  </si>
  <si>
    <t>23,13,4,2</t>
  </si>
  <si>
    <t>7,1</t>
  </si>
  <si>
    <t>35+10</t>
  </si>
  <si>
    <t xml:space="preserve">MD </t>
  </si>
  <si>
    <t>body sherds and handle stump</t>
  </si>
  <si>
    <t>23,21,9,3</t>
  </si>
  <si>
    <t>Only small fragment of handle present</t>
  </si>
  <si>
    <t>handled medium-duty vessel</t>
  </si>
  <si>
    <t>rim, body sherds and base</t>
  </si>
  <si>
    <t>6,4,3,2,1,1,1</t>
  </si>
  <si>
    <t>3,4x1</t>
  </si>
  <si>
    <t>rim,</t>
  </si>
  <si>
    <t>19,12</t>
  </si>
  <si>
    <t>slightly everted and slightly lid seated</t>
  </si>
  <si>
    <t>fine bowl</t>
  </si>
  <si>
    <t>19,2</t>
  </si>
  <si>
    <t>everted and lid seated</t>
  </si>
  <si>
    <t>springs from just below rim</t>
  </si>
  <si>
    <t>fine medium handled bowl?</t>
  </si>
  <si>
    <t>33,12</t>
  </si>
  <si>
    <t>MA</t>
  </si>
  <si>
    <t>narrow throwing rings on interior, walls are misshapen with at least one side flattened</t>
  </si>
  <si>
    <t>costrel?</t>
  </si>
  <si>
    <t>75,10</t>
  </si>
  <si>
    <t>ridge moves form right of handle at top to centre of handle at base, simple handle attachment</t>
  </si>
  <si>
    <t>18,6,4,3</t>
  </si>
  <si>
    <t>MA,MB</t>
  </si>
  <si>
    <t>12,18</t>
  </si>
  <si>
    <t>5,4,2x2,17x1</t>
  </si>
  <si>
    <t>slight ridge to right of handle, 2 separate sherds for probably the same handle</t>
  </si>
  <si>
    <t xml:space="preserve">large handled cistern </t>
  </si>
  <si>
    <t>12,11</t>
  </si>
  <si>
    <t>Slip</t>
  </si>
  <si>
    <t>upright with slight lid seating on rim</t>
  </si>
  <si>
    <t>light buff slip on exterior and under glaze (?), thin traces of glaze on exterior</t>
  </si>
  <si>
    <t>white slip under glaze</t>
  </si>
  <si>
    <t>28,18</t>
  </si>
  <si>
    <t>MB</t>
  </si>
  <si>
    <t>10,4</t>
  </si>
  <si>
    <t>Completely lug hole.</t>
  </si>
  <si>
    <t>neck</t>
  </si>
  <si>
    <t>23,14,8,8,6,6,6,5,5,4</t>
  </si>
  <si>
    <t>2,8x1</t>
  </si>
  <si>
    <t>base and body sherd</t>
  </si>
  <si>
    <t>Fine medium jar</t>
  </si>
  <si>
    <t>10,9,7,4</t>
  </si>
  <si>
    <t>Slight fragment of stump only, evidence of thumbed attachment</t>
  </si>
  <si>
    <t>13,1</t>
  </si>
  <si>
    <t>21,10,8,7,4,4,4,4,3,3,2,2,2,1</t>
  </si>
  <si>
    <t>7,4,3</t>
  </si>
  <si>
    <t>buff slip under glaze, slightly darker patches in places</t>
  </si>
  <si>
    <t>Possibly a handle stump, but very odd if it is</t>
  </si>
  <si>
    <t>BB</t>
  </si>
  <si>
    <t>9,9,4,2,2,1</t>
  </si>
  <si>
    <t>too fragmented</t>
  </si>
  <si>
    <t>4,2,1,1,1</t>
  </si>
  <si>
    <t>10,5,5,4,3</t>
  </si>
  <si>
    <t>26,20</t>
  </si>
  <si>
    <t>24,9</t>
  </si>
  <si>
    <t>33,7</t>
  </si>
  <si>
    <t>leg stump?</t>
  </si>
  <si>
    <t>Scar only</t>
  </si>
  <si>
    <t>tripod vessel?</t>
  </si>
  <si>
    <t>40,13,6</t>
  </si>
  <si>
    <t>35,11,8</t>
  </si>
  <si>
    <t>early handled jar</t>
  </si>
  <si>
    <t>upright, slight internal chamfering</t>
  </si>
  <si>
    <t>KDN</t>
  </si>
  <si>
    <t>slight fragment only with Wrenthorpe fingering</t>
  </si>
  <si>
    <t>simple attachment</t>
  </si>
  <si>
    <t>4,4,4</t>
  </si>
  <si>
    <t>70,17,12,8,4</t>
  </si>
  <si>
    <t>type</t>
  </si>
  <si>
    <t>8,6</t>
  </si>
  <si>
    <t>Jar</t>
  </si>
  <si>
    <t>groove</t>
  </si>
  <si>
    <t>K</t>
  </si>
  <si>
    <t>210?</t>
  </si>
  <si>
    <t>5+5</t>
  </si>
  <si>
    <t>56,12,9,7</t>
  </si>
  <si>
    <t>Bw?</t>
  </si>
  <si>
    <t>35+35</t>
  </si>
  <si>
    <t>Handle springs from rim and has ridge down centre of handle</t>
  </si>
  <si>
    <t>spout</t>
  </si>
  <si>
    <t>Pulled spout</t>
  </si>
  <si>
    <t>22,14</t>
  </si>
  <si>
    <t>Top and bottom handle attachments, simple bottom attachment</t>
  </si>
  <si>
    <t>Fragment of handle attachment only suggestive of Wrenthorpe mark</t>
  </si>
  <si>
    <t>Fragment of handle attachment with Wrenthorpe mark</t>
  </si>
  <si>
    <t>5,5,4,4</t>
  </si>
  <si>
    <t>2x2</t>
  </si>
  <si>
    <t>Ridge off centre</t>
  </si>
  <si>
    <t>115,82,61</t>
  </si>
  <si>
    <t>39,28,21</t>
  </si>
  <si>
    <t>12,2</t>
  </si>
  <si>
    <t>40,34,26,12,12,9,3</t>
  </si>
  <si>
    <t>BGCw/Cw</t>
  </si>
  <si>
    <t>2 large thumb impressions on handle attachment</t>
  </si>
  <si>
    <t>79,9,6</t>
  </si>
  <si>
    <t>Thumb impression evident.</t>
  </si>
  <si>
    <t>64,22,10</t>
  </si>
  <si>
    <t>12,12</t>
  </si>
  <si>
    <t>body sherds and spigot hole</t>
  </si>
  <si>
    <t>124,42,40,39,28</t>
  </si>
  <si>
    <t>large cistern</t>
  </si>
  <si>
    <t>spigot hole and base</t>
  </si>
  <si>
    <t>241,57,33,21,20,11</t>
  </si>
  <si>
    <t>K(8)</t>
  </si>
  <si>
    <t>95.49,44,31,29</t>
  </si>
  <si>
    <t>89, 79</t>
  </si>
  <si>
    <t>rim and base</t>
  </si>
  <si>
    <t>57,56,6</t>
  </si>
  <si>
    <t>103,38,14</t>
  </si>
  <si>
    <t>24,15,12</t>
  </si>
  <si>
    <t>c.280</t>
  </si>
  <si>
    <t>3b type</t>
  </si>
  <si>
    <t>9,4,4</t>
  </si>
  <si>
    <t>73,71,68</t>
  </si>
  <si>
    <t xml:space="preserve">handle </t>
  </si>
  <si>
    <t>Deep wide groove forms top of handle</t>
  </si>
  <si>
    <t>Costrel?</t>
  </si>
  <si>
    <t>26,14</t>
  </si>
  <si>
    <t>67,36,30,24,23, 17</t>
  </si>
  <si>
    <t>26</t>
  </si>
  <si>
    <t>250</t>
  </si>
  <si>
    <t>heavy sooting on exterior extending from base to top of rim in one area, with sooting extending over rim. Suggests vessel was in a fire on its side after it had been broken</t>
  </si>
  <si>
    <t>K/C</t>
  </si>
  <si>
    <t>14,10,9,9,7,6,5,5,4,4,4,4,4,3,3,3,3,3,3,3,3,2,2,2,1,1,1,1,1,1</t>
  </si>
  <si>
    <t>19,3,1,10</t>
  </si>
  <si>
    <t>5,2,2,24x1</t>
  </si>
  <si>
    <t>25+6+5</t>
  </si>
  <si>
    <t>323,118,41</t>
  </si>
  <si>
    <t>5+6</t>
  </si>
  <si>
    <t>L</t>
  </si>
  <si>
    <t>rough, uneven interior</t>
  </si>
  <si>
    <t>ridge off-centre to right of handle</t>
  </si>
  <si>
    <t>One is quite misshapen</t>
  </si>
  <si>
    <t>Fragment only of handle with Wrenthorpe finger marks</t>
  </si>
  <si>
    <t>handle stumps and body sherds</t>
  </si>
  <si>
    <t>18,15,13,10,4</t>
  </si>
  <si>
    <t>3x2</t>
  </si>
  <si>
    <t>Lower handle attachment has Wrenthorpe finger marks.</t>
  </si>
  <si>
    <t>14,11,10</t>
  </si>
  <si>
    <t>All have Wrenthorpe finger marks</t>
  </si>
  <si>
    <t>10+7</t>
  </si>
  <si>
    <t>Handle springs from rim</t>
  </si>
  <si>
    <t>Fragment only</t>
  </si>
  <si>
    <t xml:space="preserve">handles </t>
  </si>
  <si>
    <t>6,4,4</t>
  </si>
  <si>
    <t>Pink specks in glaze, 1 slightly patchy on underside of handle</t>
  </si>
  <si>
    <t>2 rounded, 1 with ridge down centre</t>
  </si>
  <si>
    <t xml:space="preserve">Both have fragments of probably Wrenthorpe fingermarks on them </t>
  </si>
  <si>
    <t>22,10</t>
  </si>
  <si>
    <t>9,2</t>
  </si>
  <si>
    <t>19,17,9,8,4,4,2,2,2,1</t>
  </si>
  <si>
    <t>2x2,8x1</t>
  </si>
  <si>
    <t>2 parallel ridges running down handle</t>
  </si>
  <si>
    <t>50,8,7</t>
  </si>
  <si>
    <t>44,34,27,21,4</t>
  </si>
  <si>
    <t>4,5x1</t>
  </si>
  <si>
    <t>21,9</t>
  </si>
  <si>
    <t>fragment of stump only</t>
  </si>
  <si>
    <t>base and rim</t>
  </si>
  <si>
    <t>13,12,9,5,1</t>
  </si>
  <si>
    <t>5,2,1</t>
  </si>
  <si>
    <t>25,3,3</t>
  </si>
  <si>
    <t>lid seated</t>
  </si>
  <si>
    <t>4,16x1</t>
  </si>
  <si>
    <t>K/J</t>
  </si>
  <si>
    <t>K/J/JA</t>
  </si>
  <si>
    <t>222,20,17,17,12,11,11,9,8,6,6,4,4,4</t>
  </si>
  <si>
    <t>3,14,1</t>
  </si>
  <si>
    <t>9,2x3,3x1</t>
  </si>
  <si>
    <t>C/L</t>
  </si>
  <si>
    <t>123,56</t>
  </si>
  <si>
    <t>J/L</t>
  </si>
  <si>
    <t>10,8</t>
  </si>
  <si>
    <t>W/L</t>
  </si>
  <si>
    <t>L/K</t>
  </si>
  <si>
    <t>93,45,22</t>
  </si>
  <si>
    <t>central ridge running down handle</t>
  </si>
  <si>
    <t>large handled vessel</t>
  </si>
  <si>
    <t>J</t>
  </si>
  <si>
    <t>321,6,6</t>
  </si>
  <si>
    <t>ridge running off-centre down left of handle, simple handle attachments. Irregularly spaced.</t>
  </si>
  <si>
    <t>base, rim, handles, body sherds</t>
  </si>
  <si>
    <t>794,340,92,69,58,55,52,45,45,42,42,41,37,35,33,31,31,30,29,28,28,26,25,25,22,21,20,20,20,19,18,16,16,16,15,15,15,15,15,15,14,14,14,14,14,14,14,13,13,13,13,12,12,12,12,12,11,11,11,11,11,11,11,11,10,10,10,10,10,10,10,9,9,9,9,9,9,9,9,9,9,8,8,8,8,8,8,8,8,8,7,7,7,7,7,7,7,7,6,6,6,6,6,6,6,6,6,6,6,6,6,6,6,6,6,6,5,5,5,5,5,5,5,5,5,5,5,5,5,5,5,5,5,4,4,4,4,4,4,4,4,4,4,4,4,4,4,4,4,4,4,3,3,3,3,3,3,3,3,3,3,3,3,3,3,3,3,3,3,3,3,3,3,3,3,3,3,3,2,2,2,2,2,2,2,2,2,2,2,2,2,2,2,2,2,2,2,2,1,1,1</t>
  </si>
  <si>
    <t>16,12,3,2,2,2,2,177x1</t>
  </si>
  <si>
    <t>Ridge down centre of handle, large thumb impression on lower handle attachment. Number of handles suggested by arrangement of thumb spacing on rim</t>
  </si>
  <si>
    <t>26,9,9,8,5,4,4,1</t>
  </si>
  <si>
    <t>Flat topped</t>
  </si>
  <si>
    <t>18,6,5</t>
  </si>
  <si>
    <t>24,20,7,6</t>
  </si>
  <si>
    <t>Fragment of Wrenthorpe handle stump only</t>
  </si>
  <si>
    <t>JB</t>
  </si>
  <si>
    <t>medium jar???</t>
  </si>
  <si>
    <t>21,6,5,5</t>
  </si>
  <si>
    <t>Groove down centre of handle</t>
  </si>
  <si>
    <t>6 type</t>
  </si>
  <si>
    <t>72,63,13,8,7</t>
  </si>
  <si>
    <t>rounded top, very thin</t>
  </si>
  <si>
    <t>ridge on underside of handle</t>
  </si>
  <si>
    <t>15,7</t>
  </si>
  <si>
    <t>JA</t>
  </si>
  <si>
    <t>ridge down centre of rim, handle springs from rim.</t>
  </si>
  <si>
    <t>27,14</t>
  </si>
  <si>
    <t>35,5</t>
  </si>
  <si>
    <t>C</t>
  </si>
  <si>
    <t>8,4</t>
  </si>
  <si>
    <t>Fine delicate handle</t>
  </si>
  <si>
    <t>everted, squared rim</t>
  </si>
  <si>
    <t>slight external clubbing</t>
  </si>
  <si>
    <t>60,29,24</t>
  </si>
  <si>
    <t>fine medium jar?</t>
  </si>
  <si>
    <t>17,10</t>
  </si>
  <si>
    <t>One flat, one with triangular profile</t>
  </si>
  <si>
    <t>one flat, one with slight ridge towards right of handle</t>
  </si>
  <si>
    <t>9,4</t>
  </si>
  <si>
    <t>Handle has a ridge, Wrenthorpe stump</t>
  </si>
  <si>
    <t>Slight off-centre ridge</t>
  </si>
  <si>
    <t>14,6,6,5,4,4,3,3,3,3,2,2,2,1</t>
  </si>
  <si>
    <t>14x1</t>
  </si>
  <si>
    <t>4,4,4,1</t>
  </si>
  <si>
    <t>38,9</t>
  </si>
  <si>
    <t>upright, slight clubbing externally</t>
  </si>
  <si>
    <t>Handle springs from rim, ridge down centre although springs from right.</t>
  </si>
  <si>
    <t>15,13,13,9,7</t>
  </si>
  <si>
    <t>16,15,13</t>
  </si>
  <si>
    <t>15x1</t>
  </si>
  <si>
    <t>8,5,3,3</t>
  </si>
  <si>
    <t>Odd attachment, as have two Wrenthorpe marks, but only one has a handle attachment, suggests error in manufacturing process which led to extra mark</t>
  </si>
  <si>
    <t>Wrenthorpe attachment</t>
  </si>
  <si>
    <t>9,6,5</t>
  </si>
  <si>
    <t>2,15x1</t>
  </si>
  <si>
    <t>BRT</t>
  </si>
  <si>
    <t>Wrenthorpe handle</t>
  </si>
  <si>
    <t>13x1</t>
  </si>
  <si>
    <t>C1965</t>
  </si>
  <si>
    <t>thumb impression, possibly from a handle</t>
  </si>
  <si>
    <t>O</t>
  </si>
  <si>
    <t>CF</t>
  </si>
  <si>
    <t>FO</t>
  </si>
  <si>
    <t>F</t>
  </si>
  <si>
    <t>26,18</t>
  </si>
  <si>
    <t>Handle attachment only, Wrenthorpe form</t>
  </si>
  <si>
    <t>Slight ridge down centre of handle</t>
  </si>
  <si>
    <t>LK</t>
  </si>
  <si>
    <t>118,44,40,19,14,14,7,1,1</t>
  </si>
  <si>
    <t>ridge off-centre towards left of handle. 1 stump is a fragment only, other 2 both with Wrenthorpe mark. Wrenthorpe finger marks poorly executed</t>
  </si>
  <si>
    <t>150,14</t>
  </si>
  <si>
    <t>Simple handle attachments, one slanted from bottom right to top left</t>
  </si>
  <si>
    <t>Simple handle attachments, handles are not opposite each other but within c.50 degrees of each other.</t>
  </si>
  <si>
    <t>56,26,14,10,10,9,7,7,6</t>
  </si>
  <si>
    <t>5,5</t>
  </si>
  <si>
    <t>35+30</t>
  </si>
  <si>
    <t>slight everted, clubbed externally</t>
  </si>
  <si>
    <t>Ridge down centre of handle, Wrenthorpe attachment. Handle springs from rim.</t>
  </si>
  <si>
    <t>391,43,40,40,33,21,17,17,15,12,10,9,9,8</t>
  </si>
  <si>
    <t>17,2x2</t>
  </si>
  <si>
    <t>32+20+15</t>
  </si>
  <si>
    <t>everted, clubbed externally</t>
  </si>
  <si>
    <t>Handle springs from rim, Wrenthorpe attachment</t>
  </si>
  <si>
    <t>Irregular base</t>
  </si>
  <si>
    <t>fine medium sized jar</t>
  </si>
  <si>
    <t>medium sized jar</t>
  </si>
  <si>
    <t>Lug hole for costrel</t>
  </si>
  <si>
    <t>14,4</t>
  </si>
  <si>
    <t>Wrenthorpe handle attachment only remaining</t>
  </si>
  <si>
    <t>4,3,2</t>
  </si>
  <si>
    <t>very small dimples in glaze</t>
  </si>
  <si>
    <t>everted, slightly thickened</t>
  </si>
  <si>
    <t>9,4,3,2,1</t>
  </si>
  <si>
    <t>15,3</t>
  </si>
  <si>
    <t>Ridge off centre towards right of handle</t>
  </si>
  <si>
    <t>14,9,7,6,5</t>
  </si>
  <si>
    <t>Most have ridges on handles</t>
  </si>
  <si>
    <t>13,10,8</t>
  </si>
  <si>
    <t>one has ridge, other two are rounded</t>
  </si>
  <si>
    <t>14,5</t>
  </si>
  <si>
    <t>4,4,3,3,2</t>
  </si>
  <si>
    <t>2 with ridges off-centre towards left, 2 with central ridges, one flat</t>
  </si>
  <si>
    <t>Both with central ridge</t>
  </si>
  <si>
    <t>6,6,4,3,3</t>
  </si>
  <si>
    <t>2 rounded, 2 with central ridge</t>
  </si>
  <si>
    <t>One with slight central ridge, other with off-centre ridge towards left.</t>
  </si>
  <si>
    <t>31,26,18</t>
  </si>
  <si>
    <t>2 large thumb impressions on handle attachment, handle slight ridge towards right of handle</t>
  </si>
  <si>
    <t>buff slip under glaze</t>
  </si>
  <si>
    <t xml:space="preserve">Handle springs from rim. </t>
  </si>
  <si>
    <t>off-white slip under glaze, glaze blotchy on exterior with areas of darker yellow glaze</t>
  </si>
  <si>
    <t>22+20</t>
  </si>
  <si>
    <t>slight off-centre groove</t>
  </si>
  <si>
    <t>colander</t>
  </si>
  <si>
    <t>Upper and lower profile</t>
  </si>
  <si>
    <t>314,300,191,168,120,95,95,88,85,67,54,52,47,38,38,27,24,20,14,12,9,8</t>
  </si>
  <si>
    <t>9,7,3x3,8x1</t>
  </si>
  <si>
    <t>PMSw</t>
  </si>
  <si>
    <t>1-12</t>
  </si>
  <si>
    <t>22+14</t>
  </si>
  <si>
    <t>SCK</t>
  </si>
  <si>
    <t>Wrenthorpe attachment only present, although glue traces suggests handle existed once</t>
  </si>
  <si>
    <t>Wrenthorpe attachment only</t>
  </si>
  <si>
    <t>Fragment of Wrenthorpe attachment only.</t>
  </si>
  <si>
    <t>Central ridge on handle</t>
  </si>
  <si>
    <t>Moderately rounded handle</t>
  </si>
  <si>
    <t>flattened top of handle</t>
  </si>
  <si>
    <t>UBS, probably from a drinking vessel. Glue remnants on handle and on sherd suggest other sherds once joined this one.</t>
  </si>
  <si>
    <t>fragment of Wrenthorpe attachment only</t>
  </si>
  <si>
    <t>flattened top</t>
  </si>
  <si>
    <t>25,15</t>
  </si>
  <si>
    <t>rim, body sherds, handle stump</t>
  </si>
  <si>
    <t>31,31,25,22</t>
  </si>
  <si>
    <t>Ridge down centre of handle. Handle springs from rim</t>
  </si>
  <si>
    <t>Raised ridge to left of handle fading towards bottom of handle</t>
  </si>
  <si>
    <t>rim sherds</t>
  </si>
  <si>
    <t>21,13</t>
  </si>
  <si>
    <t xml:space="preserve">open form </t>
  </si>
  <si>
    <t>126,58,56,53,52,50,17</t>
  </si>
  <si>
    <t>2x4</t>
  </si>
  <si>
    <t>25+25</t>
  </si>
  <si>
    <t>light to moderate sooting near base, occurred pre-breakage</t>
  </si>
  <si>
    <t>SCK/SCLK</t>
  </si>
  <si>
    <t>128,15</t>
  </si>
  <si>
    <t>SCLK</t>
  </si>
  <si>
    <t>Slight ridge to right of handle</t>
  </si>
  <si>
    <t>SCL/SCLK</t>
  </si>
  <si>
    <t>SCLK/SCL</t>
  </si>
  <si>
    <t>101,36,35,26,24</t>
  </si>
  <si>
    <t>1,1,4</t>
  </si>
  <si>
    <t>c.370</t>
  </si>
  <si>
    <t>c.230</t>
  </si>
  <si>
    <t>SCL</t>
  </si>
  <si>
    <t>Slightly flattened top</t>
  </si>
  <si>
    <t>237,32,9</t>
  </si>
  <si>
    <t>ridge down centre of handle, 2 Wrenthorpe attachments, 3 estimated due to handle spacing</t>
  </si>
  <si>
    <t>29,7,5</t>
  </si>
  <si>
    <t>possibly lid seated, fragment only</t>
  </si>
  <si>
    <t>199,1</t>
  </si>
  <si>
    <t>Ridge down centre of handle, may be a yellow slipped handle on other side but uncertain</t>
  </si>
  <si>
    <t>32,29,24,21</t>
  </si>
  <si>
    <t>53,22,5,4</t>
  </si>
  <si>
    <t>Wrenthorpe handle only remaining</t>
  </si>
  <si>
    <t>126,67</t>
  </si>
  <si>
    <t>Slight ridge to left of handle, handle springs from rim</t>
  </si>
  <si>
    <t>14,13</t>
  </si>
  <si>
    <t>162,72,35,33,28,24</t>
  </si>
  <si>
    <t>4,1,7</t>
  </si>
  <si>
    <t>8,2,2x1</t>
  </si>
  <si>
    <t>55+15</t>
  </si>
  <si>
    <t>79,9</t>
  </si>
  <si>
    <t>Wrenthorpe fingermarks very poorly applied</t>
  </si>
  <si>
    <t>21,16,7</t>
  </si>
  <si>
    <t>10,4,3</t>
  </si>
  <si>
    <t>15,10,9,7,2</t>
  </si>
  <si>
    <t>46,8</t>
  </si>
  <si>
    <t>rolled pipkin handle</t>
  </si>
  <si>
    <t>Pipkin handle, hollow in handle</t>
  </si>
  <si>
    <t>DB</t>
  </si>
  <si>
    <t>2x2,25x1</t>
  </si>
  <si>
    <t>Z</t>
  </si>
  <si>
    <t>slight ridge on handle</t>
  </si>
  <si>
    <t>slightly clubbed externally</t>
  </si>
  <si>
    <t>ridge off-centre</t>
  </si>
  <si>
    <t>31,7,5,3,2,1,1,1,1,1,1,1</t>
  </si>
  <si>
    <t>53,42,22,22,15,12,8,4,3,3,3,3,2,2,2,2,1,1,1,1,1,1,1,1</t>
  </si>
  <si>
    <t>5,2,20x1</t>
  </si>
  <si>
    <t>18x1</t>
  </si>
  <si>
    <t>DBS</t>
  </si>
  <si>
    <t>44,21</t>
  </si>
  <si>
    <t>costrel/flask</t>
  </si>
  <si>
    <t>13,6,4,3,2,1,1,1,1</t>
  </si>
  <si>
    <t>10,7,6,5,4,4,3,2.1</t>
  </si>
  <si>
    <t>8,1</t>
  </si>
  <si>
    <t>9x1</t>
  </si>
  <si>
    <t>`</t>
  </si>
  <si>
    <t>Upper handle attachments, one with slight ridge, other is flat topped</t>
  </si>
  <si>
    <t>9,8</t>
  </si>
  <si>
    <t>Both flat-topped, one with slight groove down central</t>
  </si>
  <si>
    <t>slight ridge off-centre towards left of handle</t>
  </si>
  <si>
    <t>19,5,5,4,3,1</t>
  </si>
  <si>
    <t>patchy around base on exterior</t>
  </si>
  <si>
    <t>41,9,3</t>
  </si>
  <si>
    <t>Roughly attached, handle peeling away from body.</t>
  </si>
  <si>
    <t>5,3,2,1</t>
  </si>
  <si>
    <t>23,11,7,6,4</t>
  </si>
  <si>
    <t>28,7</t>
  </si>
  <si>
    <t>Slight fragment of simple handle attachment remaining.</t>
  </si>
  <si>
    <t>sand deposit around underside of base</t>
  </si>
  <si>
    <t>c.8</t>
  </si>
  <si>
    <t>19,10</t>
  </si>
  <si>
    <t>everted, clubbed externally with lid seating on top.</t>
  </si>
  <si>
    <t>31x1</t>
  </si>
  <si>
    <t>2,14x1</t>
  </si>
  <si>
    <t>MN</t>
  </si>
  <si>
    <t>Fragment only of a Wrenthorpe handle attachment</t>
  </si>
  <si>
    <t>8,3</t>
  </si>
  <si>
    <t>large storage jar/cistern?</t>
  </si>
  <si>
    <t>31,9</t>
  </si>
  <si>
    <t>Upper handle attachment, ridge down centre of handle</t>
  </si>
  <si>
    <t>"pipkin" style</t>
  </si>
  <si>
    <t>Small pipkin style handle, cf. Wrenthorpe 68.330 but less curved</t>
  </si>
  <si>
    <t>251,40,25,21,12,11,11,8,6,5,5,4,3,3,3,1,1</t>
  </si>
  <si>
    <t>2,9,2,5</t>
  </si>
  <si>
    <t>8,10x1</t>
  </si>
  <si>
    <t>22,10,5</t>
  </si>
  <si>
    <t>Ridge down centre of vessel.</t>
  </si>
  <si>
    <t>Fragment of Wrenthorpe handle attachment only</t>
  </si>
  <si>
    <t>5,4,2,1,1,1</t>
  </si>
  <si>
    <t>2,4x1</t>
  </si>
  <si>
    <t>Moderately rounded top</t>
  </si>
  <si>
    <t>M/MG/MGC</t>
  </si>
  <si>
    <t>164,101,92,75,70,62,62,61,56,55,52,42,35,26,23,22,19,14,13,5,5,4,3</t>
  </si>
  <si>
    <t>3,1,3,2,7,4,6</t>
  </si>
  <si>
    <t>16,2x3,2,2x1</t>
  </si>
  <si>
    <t>28+13+10+5</t>
  </si>
  <si>
    <t>c.390</t>
  </si>
  <si>
    <t xml:space="preserve">Oval rim, rim is slightly hammerhead in form (rounded exterior but sloped up to rim on interior) and in line with vessels walls. </t>
  </si>
  <si>
    <t>M</t>
  </si>
  <si>
    <t>36,21</t>
  </si>
  <si>
    <t>7+3</t>
  </si>
  <si>
    <t>lid seated, slightly everted</t>
  </si>
  <si>
    <t>MDX,MN,MD,A</t>
  </si>
  <si>
    <t>356,79,42,40,24,22,18,17,15,11,9,8,8,7,7,6,5,5,4,4,3,2,1</t>
  </si>
  <si>
    <t>6,1,24,1,14</t>
  </si>
  <si>
    <t>19,5,2x3,2x2,12x1</t>
  </si>
  <si>
    <t>12+11+11+4</t>
  </si>
  <si>
    <t xml:space="preserve">Wrenthorpe handle stump, handle flares from rim. </t>
  </si>
  <si>
    <t>MDX,MD</t>
  </si>
  <si>
    <t>base, body sherds, rim</t>
  </si>
  <si>
    <t>42,35,27,22,21,21,19,17,15,14,12,11,9,9,8,8,5,5,4,4,4,4,3,3</t>
  </si>
  <si>
    <t>9,2,13x1</t>
  </si>
  <si>
    <t>Handle springs from rim, slight ridge down centre of handle</t>
  </si>
  <si>
    <t>very slight collar below rim</t>
  </si>
  <si>
    <t>MDX, C</t>
  </si>
  <si>
    <t>base, body sherd</t>
  </si>
  <si>
    <t>150,71,43,27</t>
  </si>
  <si>
    <t>MDX,MN, MD</t>
  </si>
  <si>
    <t>handle stump, body sherds</t>
  </si>
  <si>
    <t>5,1,1</t>
  </si>
  <si>
    <t>MD,MN, MDX</t>
  </si>
  <si>
    <t>33,13,13,11,10,8,6</t>
  </si>
  <si>
    <t>1,2,3,1</t>
  </si>
  <si>
    <t>5,2x1</t>
  </si>
  <si>
    <t>17+9+6</t>
  </si>
  <si>
    <t>Pronounced ridge down centre of handle, handle flares from rim.</t>
  </si>
  <si>
    <t>everted, squared edge, crudely made</t>
  </si>
  <si>
    <t>heavy duty jar</t>
  </si>
  <si>
    <t>149,88,43</t>
  </si>
  <si>
    <t>light green patches in glaze, light buff slip internally, buff pink slip externally</t>
  </si>
  <si>
    <t>11+10</t>
  </si>
  <si>
    <t>52,35,21,21,19,14,10</t>
  </si>
  <si>
    <t>AA,Z</t>
  </si>
  <si>
    <t>155,150,68,48,39,25,9,8</t>
  </si>
  <si>
    <t>5,1,4</t>
  </si>
  <si>
    <t>everted, very slight lid seating</t>
  </si>
  <si>
    <t>YY</t>
  </si>
  <si>
    <t>36,13</t>
  </si>
  <si>
    <t>everted, abraded</t>
  </si>
  <si>
    <t>BRT, BDF, BDE, L</t>
  </si>
  <si>
    <t>155,136,82,58,41,27,20</t>
  </si>
  <si>
    <t>2,1,1,1,2</t>
  </si>
  <si>
    <t>6+4+3</t>
  </si>
  <si>
    <t>everted, upright edge</t>
  </si>
  <si>
    <t>BB, BD</t>
  </si>
  <si>
    <t>67,56,28,24</t>
  </si>
  <si>
    <t>Unglazed, springs from rim, attachment of base has slight thumb impression</t>
  </si>
  <si>
    <t>Handled pancheon</t>
  </si>
  <si>
    <t>76,61</t>
  </si>
  <si>
    <t>25+17</t>
  </si>
  <si>
    <t>base, rim, handle, body sherds</t>
  </si>
  <si>
    <t>11,9,6</t>
  </si>
  <si>
    <t>2x4,3,3x2,9x1</t>
  </si>
  <si>
    <t>26+7+5</t>
  </si>
  <si>
    <t>partially everted and slightly clubbed externally</t>
  </si>
  <si>
    <t>7+5</t>
  </si>
  <si>
    <t>pipkin handle</t>
  </si>
  <si>
    <t>Crudely made pipkin handle</t>
  </si>
  <si>
    <t>Pipkin?</t>
  </si>
  <si>
    <t>AA,YY</t>
  </si>
  <si>
    <t>43,24,16,12,9</t>
  </si>
  <si>
    <t>15+12</t>
  </si>
  <si>
    <t>everted, squared edge.</t>
  </si>
  <si>
    <t>22,21</t>
  </si>
  <si>
    <t>everted, underside of rim clubbed</t>
  </si>
  <si>
    <t>everted, squared edge</t>
  </si>
  <si>
    <t>everted, slightly rounded edge</t>
  </si>
  <si>
    <t>YB</t>
  </si>
  <si>
    <t>slightly rounded top</t>
  </si>
  <si>
    <t>everted, underside of rim slightly clubbed</t>
  </si>
  <si>
    <t>CW/P-Q, MK</t>
  </si>
  <si>
    <t>36,12</t>
  </si>
  <si>
    <t>AA,AB</t>
  </si>
  <si>
    <t>16,13</t>
  </si>
  <si>
    <t>Handle applied in red clay, not same clay as vessel body. Simple attachment</t>
  </si>
  <si>
    <t>25,7</t>
  </si>
  <si>
    <t>squared edge</t>
  </si>
  <si>
    <t>AA,BDA</t>
  </si>
  <si>
    <t>27,19</t>
  </si>
  <si>
    <t>upright, slight chamfer internally.</t>
  </si>
  <si>
    <t>MDX, MH</t>
  </si>
  <si>
    <t>11,4,4,3,3,3,3,3,2,1</t>
  </si>
  <si>
    <t>10,1</t>
  </si>
  <si>
    <t>buff slip under glaze, slightly thin and patchy on interior and exterior</t>
  </si>
  <si>
    <t>Small fragment of handle stump only</t>
  </si>
  <si>
    <t>BDC,BDX,YZ</t>
  </si>
  <si>
    <t>17,15,12</t>
  </si>
  <si>
    <t>buff slip under glaze, disparate colours between two joining sherds caused by differing exposure to environment</t>
  </si>
  <si>
    <t>A, MD, BDR</t>
  </si>
  <si>
    <t>80,13,8</t>
  </si>
  <si>
    <t>K, AC</t>
  </si>
  <si>
    <t>76,73,18,15,7</t>
  </si>
  <si>
    <t>Bw1</t>
  </si>
  <si>
    <t>upright, slightly squared rim</t>
  </si>
  <si>
    <t>small pipkin style handle</t>
  </si>
  <si>
    <t>W1, C</t>
  </si>
  <si>
    <t>slight ridge above base</t>
  </si>
  <si>
    <t>medium albarello?</t>
  </si>
  <si>
    <t>A,BDA</t>
  </si>
  <si>
    <t>43,21</t>
  </si>
  <si>
    <t>unslipped, iron spots concentrated towards base on exterior</t>
  </si>
  <si>
    <t>Residual?</t>
  </si>
  <si>
    <t>YC</t>
  </si>
  <si>
    <t>upright, slightly clubbed externally with flat top to rim</t>
  </si>
  <si>
    <t>Handle flares from rim</t>
  </si>
  <si>
    <t>medium handled jar</t>
  </si>
  <si>
    <t>May be a handle scar, but possibly just flaked from excavation</t>
  </si>
  <si>
    <t>YZ</t>
  </si>
  <si>
    <t>16,2,2</t>
  </si>
  <si>
    <t>everted before upright, lid seated internally- see Wren 62.224 for style of rim</t>
  </si>
  <si>
    <t>medium sized fine jar</t>
  </si>
  <si>
    <t>9,3,3,3,2,1</t>
  </si>
  <si>
    <t>YW</t>
  </si>
  <si>
    <t>Post-17thC</t>
  </si>
  <si>
    <t>Slight ridge on top of handle</t>
  </si>
  <si>
    <t>small dimples in glaze</t>
  </si>
  <si>
    <t>fragment of attachment only</t>
  </si>
  <si>
    <t>Middle scar much higher than other two, although small fragment only. Wrenthorpe handles</t>
  </si>
  <si>
    <t>15,11</t>
  </si>
  <si>
    <t>Fragment of Wrenthorpe attachment</t>
  </si>
  <si>
    <t>15,4</t>
  </si>
  <si>
    <t>5,5,4,4,4,3,3,3,2,2,2,1,1,1</t>
  </si>
  <si>
    <t>patchy on underside of handle</t>
  </si>
  <si>
    <t>Ridge slightly off-centre</t>
  </si>
  <si>
    <t>11,7,6,5,4,4,3,3,3,3,2,2,2,2,1,1,1</t>
  </si>
  <si>
    <t>Cw upright drinking vessel</t>
  </si>
  <si>
    <t>100,13,7,4</t>
  </si>
  <si>
    <t>16,11,6,6,6,5,4,3,2,2,1,1,1,1,1,1</t>
  </si>
  <si>
    <t>Slight evidence for thumb impression on handle attachment</t>
  </si>
  <si>
    <t>23,14,10,3,2,2,2,2</t>
  </si>
  <si>
    <t>94,15</t>
  </si>
  <si>
    <t>2 raised ridges either side of handles centre</t>
  </si>
  <si>
    <t>large handled storage jar/cistern</t>
  </si>
  <si>
    <t>16,8</t>
  </si>
  <si>
    <t>YGCw</t>
  </si>
  <si>
    <t>upright, clubbed externally with flat top</t>
  </si>
  <si>
    <t>18,14,10,7,4,3,3,3,3,2,2,2,1,1,1,1</t>
  </si>
  <si>
    <t>8,3,3,2,2</t>
  </si>
  <si>
    <t>one has been burnt after breakage- sherd break also has soot</t>
  </si>
  <si>
    <t>ridge down centre of handle, Wrenthorpe handle</t>
  </si>
  <si>
    <t>113,6,2</t>
  </si>
  <si>
    <t>Wrenthorpe handle attachments</t>
  </si>
  <si>
    <t>simple, slightly everted, uneven edge</t>
  </si>
  <si>
    <t>2 with simple attachments, slight ridge on handles. One has Wrenthorpe fingermarks- very slight. Another appears to have a handle scar underlying a simple handle attachment. Other handle attachment is simple.</t>
  </si>
  <si>
    <t>L, W1</t>
  </si>
  <si>
    <t>130,35,11</t>
  </si>
  <si>
    <t>6,2,1</t>
  </si>
  <si>
    <t xml:space="preserve">Wrenthorpe fingermarks, in places overlapping. </t>
  </si>
  <si>
    <t>A</t>
  </si>
  <si>
    <t>219,40,29,27,16,11,9,2</t>
  </si>
  <si>
    <t>4,3,2x1</t>
  </si>
  <si>
    <t>15+15</t>
  </si>
  <si>
    <t>simple, slightly flared</t>
  </si>
  <si>
    <t>Very random arrangement of handles- some large, some small. All Wrenthorpe or attempted Wrenthorpe- may not be as neat as presented in original drawing</t>
  </si>
  <si>
    <t>83,4,3,2,2</t>
  </si>
  <si>
    <t>11,1</t>
  </si>
  <si>
    <t>Wrenthorpe fingermarks, handle possibly flares from rim</t>
  </si>
  <si>
    <t>2 handles spaced very close together, Wrenthorpe attachments</t>
  </si>
  <si>
    <t>378,37,30,3,1</t>
  </si>
  <si>
    <t>simple, slight everted</t>
  </si>
  <si>
    <t>Simple handle attachments, supposed there are 3 handles on basis of spacing</t>
  </si>
  <si>
    <t>165,139,137,102,97,90,46,36,34,15</t>
  </si>
  <si>
    <t>10,2x2</t>
  </si>
  <si>
    <t>large heavy duty storage jar/cistern</t>
  </si>
  <si>
    <t>59,40,36,31,22,21,20,18,18,13,12,11,11,9,5,3</t>
  </si>
  <si>
    <t>4x3,2,8x1</t>
  </si>
  <si>
    <t>15+37</t>
  </si>
  <si>
    <t>foot</t>
  </si>
  <si>
    <t>Foot stump from a tripod pipkin added in red firing clay which is very different from main fabric of vessel</t>
  </si>
  <si>
    <t>heavy sooting on one side of rim and on other body sherds</t>
  </si>
  <si>
    <t>foot has been broken but has soot on break, suggesting it may have been used after breakage.</t>
  </si>
  <si>
    <t xml:space="preserve">thickened externally by bending clay back on itself, flat topped. </t>
  </si>
  <si>
    <t>large heavy duty jar</t>
  </si>
  <si>
    <t>very slightly everted, slightly clubbed externally</t>
  </si>
  <si>
    <t>51,41,11</t>
  </si>
  <si>
    <t>AK, K, J</t>
  </si>
  <si>
    <t>182,90,39,24,21,20,10</t>
  </si>
  <si>
    <t>1,1,1,4</t>
  </si>
  <si>
    <t>35+17</t>
  </si>
  <si>
    <t>lid seated, clubbed externally</t>
  </si>
  <si>
    <t>Rounded top, handle springs from rim</t>
  </si>
  <si>
    <t>Dish</t>
  </si>
  <si>
    <t>K,L,AD</t>
  </si>
  <si>
    <t>115,70,51,29,25,14</t>
  </si>
  <si>
    <t>7,1,2,3</t>
  </si>
  <si>
    <t>upright, external clubbing with flat top</t>
  </si>
  <si>
    <t>horizontal rod</t>
  </si>
  <si>
    <t xml:space="preserve">Illustrated- Brears 96.105. </t>
  </si>
  <si>
    <t>59,13</t>
  </si>
  <si>
    <t>71,55,16</t>
  </si>
  <si>
    <t>8+10</t>
  </si>
  <si>
    <t>Bowl/dish</t>
  </si>
  <si>
    <t>simple, everted, uneven.</t>
  </si>
  <si>
    <t>pipkin/skillet</t>
  </si>
  <si>
    <t>Odd handle if this is the case, possibly from a skillet/pipkin</t>
  </si>
  <si>
    <t>Pipkin handle</t>
  </si>
  <si>
    <t>single horizontal line underneath shoulder of vessel</t>
  </si>
  <si>
    <t>reconstructed</t>
  </si>
  <si>
    <t>160,5</t>
  </si>
  <si>
    <t>42,37</t>
  </si>
  <si>
    <t>20+15</t>
  </si>
  <si>
    <t>c.100</t>
  </si>
  <si>
    <t>near complete</t>
  </si>
  <si>
    <t>unknown</t>
  </si>
  <si>
    <t>simple, pulled spout</t>
  </si>
  <si>
    <t>clubbed externally, internal lid seating. Upright.</t>
  </si>
  <si>
    <t>upright and clubbed externally</t>
  </si>
  <si>
    <t>2 splayed shallow thumb impressions on the lower attachment of each handle, 2 handles have a ridge either side of central gully, other is more rounded</t>
  </si>
  <si>
    <t>Large handled storage jar</t>
  </si>
  <si>
    <t>D, MJ</t>
  </si>
  <si>
    <t>668,286,244,121,100,61,43,43,17,8,5,3,1</t>
  </si>
  <si>
    <t>1,2, 41</t>
  </si>
  <si>
    <t>33,11</t>
  </si>
  <si>
    <t>27+20</t>
  </si>
  <si>
    <t>Simple handle attachments, one moderately rounded, one with ridges either side of central depression</t>
  </si>
  <si>
    <t>MK, MF, MJ, MG</t>
  </si>
  <si>
    <t>upper and lower profiles</t>
  </si>
  <si>
    <t>210,120,72,71,61,59,49,45,36,33,31,26,22,1,20,20,20,19,19,16,15,14,13,13,11,10,9,8,8,6,3,2</t>
  </si>
  <si>
    <t>10,4,9,1,1,14</t>
  </si>
  <si>
    <t>17,9,5,3,2,3x1</t>
  </si>
  <si>
    <t>40+35</t>
  </si>
  <si>
    <t>upright, clubbed internally</t>
  </si>
  <si>
    <t>Jug</t>
  </si>
  <si>
    <t>SC65, KDN</t>
  </si>
  <si>
    <t>466,241,194,142,131,115,59,48,37,31,24,22,13</t>
  </si>
  <si>
    <t>24,3</t>
  </si>
  <si>
    <t>clubbed externally, slight lid seating on rim</t>
  </si>
  <si>
    <t>Pancheon</t>
  </si>
  <si>
    <t>neck and body sherds</t>
  </si>
  <si>
    <t>76,13,13,12,12,11,11,8,7,6,4,4,4,3,2,1</t>
  </si>
  <si>
    <t>1,13,5</t>
  </si>
  <si>
    <t>4,2x2,11x1</t>
  </si>
  <si>
    <t>Mart</t>
  </si>
  <si>
    <t>Flask</t>
  </si>
  <si>
    <t>7,5,4,8,3,2x2,9x1</t>
  </si>
  <si>
    <t>82,5,4,3,3,3,3,2,2,2,1</t>
  </si>
  <si>
    <t>12,12x1</t>
  </si>
  <si>
    <t>17,8,5,2x2,44x1</t>
  </si>
  <si>
    <t>12,9,8,5,4,2x3,7x2,169x1</t>
  </si>
  <si>
    <t>2/3?</t>
  </si>
  <si>
    <t>1/2?</t>
  </si>
  <si>
    <t>8,7,6,5,4,3,2</t>
  </si>
  <si>
    <t>2,5</t>
  </si>
  <si>
    <t>a</t>
  </si>
  <si>
    <t>28,4,3,3x2,29x1</t>
  </si>
  <si>
    <t>b</t>
  </si>
  <si>
    <t>19+11+9+7</t>
  </si>
  <si>
    <t>upper profile and body sherds</t>
  </si>
  <si>
    <t>13,3,1</t>
  </si>
  <si>
    <t>4,4,2</t>
  </si>
  <si>
    <t>2,34x1</t>
  </si>
  <si>
    <t>BDG</t>
  </si>
  <si>
    <t>late fineware, possibly late Hw???</t>
  </si>
  <si>
    <t>25x1</t>
  </si>
  <si>
    <t>2,38x1</t>
  </si>
  <si>
    <t>4,12x1</t>
  </si>
  <si>
    <t>c.340</t>
  </si>
  <si>
    <t>bases</t>
  </si>
  <si>
    <t>41,14</t>
  </si>
  <si>
    <t>4,9x1</t>
  </si>
  <si>
    <t>6,5,2</t>
  </si>
  <si>
    <t>jar/cistern</t>
  </si>
  <si>
    <t>3,2,21x1</t>
  </si>
  <si>
    <t>4,43x1</t>
  </si>
  <si>
    <t>CWX</t>
  </si>
  <si>
    <t>AA/YY</t>
  </si>
  <si>
    <t>AA/AD</t>
  </si>
  <si>
    <t>BDD(?)</t>
  </si>
  <si>
    <t>multi-handled- 4 single handles interspersed with 4 double handles.</t>
  </si>
  <si>
    <t>large drinking vessel</t>
  </si>
  <si>
    <t>lug holes for costrel</t>
  </si>
  <si>
    <t>Handle springs from rim and has slight ridge</t>
  </si>
  <si>
    <t>2/3</t>
  </si>
  <si>
    <t>Rounded top, simple handle attachment</t>
  </si>
  <si>
    <t>Rounded top, springs from rim. Uneven- slants from top left to bottom right. Handle attachment missing</t>
  </si>
  <si>
    <t>KDN,K,SC65,113,102,112,110</t>
  </si>
  <si>
    <t>5,1,1,5,1,1,2,8</t>
  </si>
  <si>
    <t>very uneven rim</t>
  </si>
  <si>
    <t>complete?</t>
  </si>
  <si>
    <t>Total Weight</t>
  </si>
  <si>
    <t>21,12,8,2</t>
  </si>
  <si>
    <t>39,38,27,24,23,18,18,15,11</t>
  </si>
  <si>
    <t>50,27,24,10,6,4,2</t>
  </si>
  <si>
    <t>61,46,37,10,10,10,7</t>
  </si>
  <si>
    <t>7,5,3,2,2,1</t>
  </si>
  <si>
    <t>Total number of fragments</t>
  </si>
  <si>
    <t>Total Percentage of Vessel present</t>
  </si>
  <si>
    <t>Total Percentage if not residual</t>
  </si>
  <si>
    <t>105,43</t>
  </si>
  <si>
    <t>ENV if not residual</t>
  </si>
  <si>
    <t>Trans Cw/Bw</t>
  </si>
  <si>
    <t>Trans Cw/Bw??</t>
  </si>
  <si>
    <t>Bw(?)</t>
  </si>
  <si>
    <t>underside of base unglazed</t>
  </si>
  <si>
    <t>on interior only the base is glazed with purple walls. On exterior glaze is chocolate brown in colour with black mottling does not extend to base, edge is uneven</t>
  </si>
  <si>
    <t>small blisters on exterior, on interior large puddle of glaze suggesting the vessel was slanted during firing</t>
  </si>
  <si>
    <t>glaze on exterior patchy towards base and does not extend underneath.</t>
  </si>
  <si>
    <t>glaze extends over leg and over rim of base on exterior but majority of base unglazed. Black mottling in glaze</t>
  </si>
  <si>
    <t>patchy on exterior, some areas unglazed with dark red slip</t>
  </si>
  <si>
    <t xml:space="preserve">very patchy on exterior. Large areas, including underside of base, unglazed. Dark red slip </t>
  </si>
  <si>
    <t>patchy on interior, uneven edge on exterior and does not extend to base.</t>
  </si>
  <si>
    <t>base on exterior largely unglazed</t>
  </si>
  <si>
    <t>patchy on exterior with unglazed base</t>
  </si>
  <si>
    <t>glossier and lighter on interior, on exterior uneven edge above base and base itself is unglazed</t>
  </si>
  <si>
    <t>micaceous glaze, quite thin on interior and as a result more metallic. Underside of base unglazed</t>
  </si>
  <si>
    <t>thin on interior, especially on walls where glaze is also patchy. Exterior has uneven edge around base, base pedestal only partially covered</t>
  </si>
  <si>
    <t>uneven edge on exterior with large dribbles, partially extends to base but underside unglazed</t>
  </si>
  <si>
    <t>interior has metallic purple walls with only base glazed, exterior glaze is thin around top of base pedestal and does not extend to base</t>
  </si>
  <si>
    <t>on exterior glaze covers all walls but underside of base is unglazed</t>
  </si>
  <si>
    <t>on exterior glaze does not extend to base</t>
  </si>
  <si>
    <t>glaze on exterior has an uneven edge and does not extend to base</t>
  </si>
  <si>
    <t>slight patch of glaze on exterior caused by finger marks</t>
  </si>
  <si>
    <t>on interior glaze is present on a patch of the base only, on exterior underside of base is unglazed</t>
  </si>
  <si>
    <t>more metallic on interior, patchy towards base on exterior and underside of base is unglazed</t>
  </si>
  <si>
    <t>patchy on exterior, underside of base unglazed</t>
  </si>
  <si>
    <t>thinner and more metallic on interior, underside of base is unglazed</t>
  </si>
  <si>
    <t>thick glaze on interior, uneven edge on exterior around pedestal, underside of base unglazed</t>
  </si>
  <si>
    <t>glaze extends over rim, but ends in a straight line over lip. Suggests this may be later than Cw</t>
  </si>
  <si>
    <t>one sherd is slightly patchy on exterior</t>
  </si>
  <si>
    <t>black mottles in glaze</t>
  </si>
  <si>
    <t>very glossy glaze</t>
  </si>
  <si>
    <t>occasional metallic spots</t>
  </si>
  <si>
    <t>very scuffed</t>
  </si>
  <si>
    <t>very metallic</t>
  </si>
  <si>
    <t>metallic spots</t>
  </si>
  <si>
    <t>patchy underneath handle</t>
  </si>
  <si>
    <t>micaceous glaze</t>
  </si>
  <si>
    <t>very thin on exterior, as a result is purple. On interior is a darker brown with very small yellow specks</t>
  </si>
  <si>
    <t>dark brown where less metallic</t>
  </si>
  <si>
    <t>on exterior glaze does not extend to base and underside is unglazed</t>
  </si>
  <si>
    <t>underside of handle glazed, internally glaze is patchy near base</t>
  </si>
  <si>
    <t>very patchy on interior</t>
  </si>
  <si>
    <t>dimpled glaze</t>
  </si>
  <si>
    <t>one sherd is patchily glazed on underside of handle</t>
  </si>
  <si>
    <t>near black in colour where glaze is less metallic. On exterior, near base vessel is unglazed and purple in colour</t>
  </si>
  <si>
    <t>one sherd has frequent yellow speckling on interior, another is patchy</t>
  </si>
  <si>
    <t>micaceous glaze with black iron spotting</t>
  </si>
  <si>
    <t>some sherds have iron spots in glaze</t>
  </si>
  <si>
    <t>patchy on exterior</t>
  </si>
  <si>
    <t>one sherd has a patchy to non-existent glaze on interior</t>
  </si>
  <si>
    <t>chocolate brown glaze with black mottles</t>
  </si>
  <si>
    <t>patchy on interior towards base, which has a purple sheen</t>
  </si>
  <si>
    <t>one sherd is less metallic, one unglazed on interior</t>
  </si>
  <si>
    <t>very dusty glaze, underside of handle glazed</t>
  </si>
  <si>
    <t>one sherd has a very patchy glaze</t>
  </si>
  <si>
    <t>all scuffed, three with black mottles in glaze</t>
  </si>
  <si>
    <t>very dusty glaze with metallic spots, where less dusty black in colour</t>
  </si>
  <si>
    <t>scuffed</t>
  </si>
  <si>
    <t>slightly patchy on top of handle, underside glazed</t>
  </si>
  <si>
    <t>one sherd is more metallic</t>
  </si>
  <si>
    <t>micaceous glaze, patchy underneath handle</t>
  </si>
  <si>
    <t>very patchy, especially on interior where large patches unglazed.</t>
  </si>
  <si>
    <t>slightly patchy on interior of one sherd, inclusions are large prominent yellow grit inclusions</t>
  </si>
  <si>
    <t>chocolate brown mottles, one only partially glazed internally</t>
  </si>
  <si>
    <t>very thin on interior</t>
  </si>
  <si>
    <t>patchy on exterior with bubbling</t>
  </si>
  <si>
    <t>top and underside of handle very patchy to non-existent</t>
  </si>
  <si>
    <t>bright pink mottles in glaze</t>
  </si>
  <si>
    <t>does not extend to base externally, has dribbles and an uneven edge</t>
  </si>
  <si>
    <t>light pink slip on exterior, no slip under glaze(?), glaze mostly abraded</t>
  </si>
  <si>
    <t>dark buff slip on exterior, white slip under glaze</t>
  </si>
  <si>
    <t>extremely patchy on interior and exterior. Buff slip on interior and on exterior, on exterior has dark red smears</t>
  </si>
  <si>
    <t>patchy in places on interior and exterior, particularly towards base. Dark to light buff slip on interior and on exterior</t>
  </si>
  <si>
    <t>One sherd is patchy on exterior, buff slip under glaze</t>
  </si>
  <si>
    <t>abraded and thin on exterior, no slip under glaze</t>
  </si>
  <si>
    <t>no slip under glaze(?). Externally may have a buff slip, but unclear</t>
  </si>
  <si>
    <t>buff slip on exterior and under glaze</t>
  </si>
  <si>
    <t>no slip under glaze(?)</t>
  </si>
  <si>
    <t>patchy on exterior, one has iron spots. No slip</t>
  </si>
  <si>
    <t>abraded, no slip</t>
  </si>
  <si>
    <t>glaze extends to lip of rim and partially over. Buff slip under glaze and on exterior</t>
  </si>
  <si>
    <t>dark buff slip on exterior, pink slip under glaze</t>
  </si>
  <si>
    <t>red slip on exterior, light yellow slip under glaze</t>
  </si>
  <si>
    <t>unslipped, rim abraded but glaze extends over lip of rim</t>
  </si>
  <si>
    <t>white glaze on interior, on exterior mottled purple glaze (see examples at Pontefract)</t>
  </si>
  <si>
    <t>buff slip on exterior and red slip under glaze. Red slip extends over rim with glaze extending up to lip of rim</t>
  </si>
  <si>
    <t>large dribble of mid brown glaze only on interior, which has dark red slip. Exterior is dark green brown in colour</t>
  </si>
  <si>
    <t>one sherd is unglazed internally, the other is glossier and dark green brown glaze on interior. Base unglazed on underside</t>
  </si>
  <si>
    <t>one sherd has more inclusions, both have iron mottling</t>
  </si>
  <si>
    <t>glaze extends over lip of rim and partially onto neck of rim internally. Externally is patchy under rim</t>
  </si>
  <si>
    <t>very patchy on exterior and does not extend to base</t>
  </si>
  <si>
    <t>red slip on exterior, underside of base unglazed</t>
  </si>
  <si>
    <t>scuffed, iron spots in glaze</t>
  </si>
  <si>
    <t>more inclusions on interior, where glaze is thinner</t>
  </si>
  <si>
    <t>frequent small yellow specks, interior is abraded</t>
  </si>
  <si>
    <t>one sherd is glossier on interior</t>
  </si>
  <si>
    <t>exterior completely abraded</t>
  </si>
  <si>
    <t>patchy on interior, iron spots in glaze</t>
  </si>
  <si>
    <t>heavily scuffed</t>
  </si>
  <si>
    <t>dark red slip on exterior</t>
  </si>
  <si>
    <t>patchy on interior</t>
  </si>
  <si>
    <t>only slight patch on interior, which is otherwise a glossy purple</t>
  </si>
  <si>
    <t>small dimples in glaze on exterior</t>
  </si>
  <si>
    <t>slightly patchy on interior, very fine yellow specks</t>
  </si>
  <si>
    <t>black in colour where less metallic, underside of base unglazed</t>
  </si>
  <si>
    <t>more metallic on interior, large dribble only on exterior and base unglazed</t>
  </si>
  <si>
    <t>on exterior glaze finishes above base pedestal and underside of base is unglazed</t>
  </si>
  <si>
    <t>underside of base is largely unglazed</t>
  </si>
  <si>
    <t>glaze does not extend to base on exterior</t>
  </si>
  <si>
    <t>patchy on interior, black mottling in glaze</t>
  </si>
  <si>
    <t>one very patchy on both sides, one with black mottles in glaze</t>
  </si>
  <si>
    <t>black mottles show through where less metallic</t>
  </si>
  <si>
    <t>patchy around rim on interior</t>
  </si>
  <si>
    <t>some sherds have a patchy glaze on interior</t>
  </si>
  <si>
    <t>some sherds are scuffed with one partially unglazed externally. Some sherds are more metallic with a patchy internal glaze</t>
  </si>
  <si>
    <t>more metallic on interior, small dimples externally</t>
  </si>
  <si>
    <t>thinner and more metallic on interior</t>
  </si>
  <si>
    <t>getting patchier below rim on interior. Darker yellow patches on exterior caused by dark red slip, otherwise buff slip under glaze</t>
  </si>
  <si>
    <t>buff slip on exterior with slightly darker slip under glaze. Glaze patchy on rim of vessel</t>
  </si>
  <si>
    <t>buff slip on exterior and under glaze on interior</t>
  </si>
  <si>
    <t>interior abraded</t>
  </si>
  <si>
    <t>pink slip under glaze and dribbled over exterior, although external slip is predominantly buff in colour</t>
  </si>
  <si>
    <t>abraded</t>
  </si>
  <si>
    <t>pink buff slip on exterior. Thin horizontal pink buff stripe under glaze on interior, otherwise white slip under glaze</t>
  </si>
  <si>
    <t>small spot of yellow glaze, otherwise pink buff slip covers handle</t>
  </si>
  <si>
    <t>red slip on exterior, white slip under glaze</t>
  </si>
  <si>
    <t>on interior glaze is red with yellow spots. Externally has an off-white slip under glaze.</t>
  </si>
  <si>
    <t>off-white slip under glaze</t>
  </si>
  <si>
    <t>red slip on exterior, but not on underside of base. Off-white slip under glaze</t>
  </si>
  <si>
    <t>dark red slip on exterior, off-white slip under glaze and on rim</t>
  </si>
  <si>
    <t>red slip on exterior, internally abraded</t>
  </si>
  <si>
    <t>slightly micaceous glaze, black streaks in glaze</t>
  </si>
  <si>
    <t>patchier and less metallic on interior</t>
  </si>
  <si>
    <t>patchy with only slight patches on rim. Dark red slip under glaze transforming to red slip on exterior</t>
  </si>
  <si>
    <t>patchy on underside of handle. Iron spots in glaze</t>
  </si>
  <si>
    <t>iron spots in glaze, patchy on interior</t>
  </si>
  <si>
    <t>one sherd is abraded</t>
  </si>
  <si>
    <t>very patchy on exterior, internally is dark brown and less metallic</t>
  </si>
  <si>
    <t>black iron streaks in glaze, one is extremely patchy on interior</t>
  </si>
  <si>
    <t>patchy on exterior, where less metallic black mottling visible. Rim and interior have dark brown patches with occasional yellow inclusions</t>
  </si>
  <si>
    <t>patchy, where vessel is purple in colour where unglazed</t>
  </si>
  <si>
    <t>less metallic on interior</t>
  </si>
  <si>
    <t>on underside of base less metallic and dark brown in colour. Extremely thin on interior and glossy purple walls</t>
  </si>
  <si>
    <t>patchy on interior and exterior below rim</t>
  </si>
  <si>
    <t>very glossy glaze, iron spots in glaze</t>
  </si>
  <si>
    <t>patchy on interior. On exterior dribbles of glaze down sides, one of which extends onto underside of base.</t>
  </si>
  <si>
    <t>dirty glaze</t>
  </si>
  <si>
    <t>scuffed, very thick deposit on base</t>
  </si>
  <si>
    <t>patchy internally and towards base on exterior</t>
  </si>
  <si>
    <t>thin around rim</t>
  </si>
  <si>
    <t>some glaze on top of interior</t>
  </si>
  <si>
    <t>very dusty, metallic glaze</t>
  </si>
  <si>
    <t>large metallic spot and brown streaks in glaze on exterior, metallic streaks on interior</t>
  </si>
  <si>
    <t>some sherds are scuffed, others are patchy on interior</t>
  </si>
  <si>
    <t>more metallic on interior, some black streaking</t>
  </si>
  <si>
    <t xml:space="preserve">more metallic on interior, some black streaking. </t>
  </si>
  <si>
    <t>heavily burnt</t>
  </si>
  <si>
    <t>patchy on interior. Glaze is scuffed externally, underside of handle glazed</t>
  </si>
  <si>
    <t>more metallic on underside of handle</t>
  </si>
  <si>
    <t>buff slip</t>
  </si>
  <si>
    <t>buff slip on exterior and interior under glaze. Very thin on upper sides of vessel, rim only partially glazed</t>
  </si>
  <si>
    <t>dark red slip on exterior, buff slip under glaze, glaze very patchy internally</t>
  </si>
  <si>
    <t>patchy on top of rim, buff slip under glaze</t>
  </si>
  <si>
    <t>patchy on exterior, glaze does not extend to base. Light buff slip under glaze, underside of base unslipped</t>
  </si>
  <si>
    <t>salmon pink slip on exterior of two sherds, dirty buff slip on exterior of other. Off-white slip under glaze</t>
  </si>
  <si>
    <t>slightly patchy, salmon pink slip under glaze</t>
  </si>
  <si>
    <t xml:space="preserve">buff slip under glaze,  on exterior glaze extends slightly to underside of base </t>
  </si>
  <si>
    <t>very thin glaze, unslipped</t>
  </si>
  <si>
    <t>unslipped, thin glaze</t>
  </si>
  <si>
    <t>burnt glaze with some blistering</t>
  </si>
  <si>
    <t>dark red slip</t>
  </si>
  <si>
    <t>very patchy on exterior as near base</t>
  </si>
  <si>
    <t>very patchy externally, slightly patchy internally</t>
  </si>
  <si>
    <t>patchy on exterior, glossier on interior and lighter in colour</t>
  </si>
  <si>
    <t>dark chocolate brown with black patches, slightly patch on interior below rim</t>
  </si>
  <si>
    <t>slightly dustier on interior</t>
  </si>
  <si>
    <t>one sherd is only partially glazed externally, some patchy internally, very dusty glaze</t>
  </si>
  <si>
    <t>chocolate brown streaks, especially on exterior</t>
  </si>
  <si>
    <t>very thin</t>
  </si>
  <si>
    <t>thin on exterior and patchy towards base. Whole vessel (including base) with cream slip</t>
  </si>
  <si>
    <t>slightly patch on interior, buff slip under glaze</t>
  </si>
  <si>
    <t>buff slip under glaze, patchy on rim and on interior</t>
  </si>
  <si>
    <t>white slip under glaze, buff slip on exterior</t>
  </si>
  <si>
    <t>lower portion of interior unglazed, iron spots in glaze</t>
  </si>
  <si>
    <t>chocolate brown with occasional brown spots</t>
  </si>
  <si>
    <t>very thin on interior, exterior is dusty</t>
  </si>
  <si>
    <t>scuffed exterior, interior more purple in colour</t>
  </si>
  <si>
    <t>very thin on interior, dusty in places on exterior</t>
  </si>
  <si>
    <t>patchy on exterior, slightly patchy on interior. Underside of base unglazed</t>
  </si>
  <si>
    <t>large dribbles running down exterior, partially unglazed</t>
  </si>
  <si>
    <t>some sherds are scuffed, one sherd is patchy on interior</t>
  </si>
  <si>
    <t>one sherd has thin glaze on interior, bubbled glaze on both sherds</t>
  </si>
  <si>
    <t>one sherd is largely unglazed on interior and heavily scuffed</t>
  </si>
  <si>
    <t>small black patches amongst chocolate brown glaze</t>
  </si>
  <si>
    <t>chocolate brown streaks on exterior and mainly chocolate brown in colour on interior</t>
  </si>
  <si>
    <t>patchy below rim on exterior</t>
  </si>
  <si>
    <t>dirty buff slip on exterior, white slip under glaze</t>
  </si>
  <si>
    <t>glaze abraded, no slip under glaze and red spots in glaze</t>
  </si>
  <si>
    <t>dark red slip on exterior, on interior more purple walls as glaze is thinner. Glaze is thicker on base and brown in colour</t>
  </si>
  <si>
    <t>thinner and even more purple on interior</t>
  </si>
  <si>
    <t>slightly scuffed</t>
  </si>
  <si>
    <t>dirty glaze on interior, exterior is very thin and purple in colour</t>
  </si>
  <si>
    <t>exterior varies in colour from dark brown around edge of bung hole to purple on left of bunghole. Interior is a uniform black</t>
  </si>
  <si>
    <t>Very thin and patchy on exterior, purple in colour as over dark red slip. Underside of base partially glazed</t>
  </si>
  <si>
    <t>interior has a metallic purple sheen</t>
  </si>
  <si>
    <t>lower portion of exterior and small section of lower portion of interior unglazed</t>
  </si>
  <si>
    <t>extremely thin on interior and patchy on both sides</t>
  </si>
  <si>
    <t>a few light spots on interior, light yellow slip on interior and under glaze</t>
  </si>
  <si>
    <t>buff slip on exterior, and under glaze</t>
  </si>
  <si>
    <t>costrel- no glaze internally. Basal pedestal only partially glazed externally</t>
  </si>
  <si>
    <t>subjected to heavy burning, basal pedestal unglazed externally</t>
  </si>
  <si>
    <t>large dribbles on interior and exterior, some areas unglazed</t>
  </si>
  <si>
    <t>dribbles down exterior with areas unglazed, completely covered internally</t>
  </si>
  <si>
    <t>yellow speckling on interior</t>
  </si>
  <si>
    <t>very small dimples on glaze externally with chocolate brown mottling. Internally brown glaze is thin and patchy</t>
  </si>
  <si>
    <t>small areas with black marbling</t>
  </si>
  <si>
    <t>very thin glaze</t>
  </si>
  <si>
    <t>underside of handle unglazed and patchy on top, black metallic iron streaks in glaze</t>
  </si>
  <si>
    <t>extremely thin on interior, slightly patchy externally</t>
  </si>
  <si>
    <t>occasional spots on interior</t>
  </si>
  <si>
    <t>glaze extends to lip of rim. Fine yellow speckles on top of rim</t>
  </si>
  <si>
    <t>extremely patchy on interior</t>
  </si>
  <si>
    <t>extremely thin and patchy on both sides</t>
  </si>
  <si>
    <t>scuffed, underside of base partially glazed</t>
  </si>
  <si>
    <t>slightly thin around rim</t>
  </si>
  <si>
    <t>scuffed glaze, underside of handle glazed</t>
  </si>
  <si>
    <t>chocolate brown streaks in glaze on exterior</t>
  </si>
  <si>
    <t>one very patchy on interior to point of non-existence, all scuffed externally</t>
  </si>
  <si>
    <t>a few spots on exterior</t>
  </si>
  <si>
    <t>thin and patchy on interior</t>
  </si>
  <si>
    <t>patchy on interior. Glaze scuffed externally with black spots in glaze</t>
  </si>
  <si>
    <t>slightly lighter on interior</t>
  </si>
  <si>
    <t>very thin and patchy, only slightly extends onto rim. Red slip on exterior</t>
  </si>
  <si>
    <t>thin and patchy on exterior of two sherds, black iron streaks in glaze</t>
  </si>
  <si>
    <t>scuffed glaze, only very patchy and thin glaze on interior</t>
  </si>
  <si>
    <t>slight patch of glaze externally, does not extend to basal pedestal</t>
  </si>
  <si>
    <t>patchy, especially on interior. Where black glaze is absent have a purple metallic sheen</t>
  </si>
  <si>
    <t>black streaks on edges of handle</t>
  </si>
  <si>
    <t>very patchy, only left side of handle is glazed</t>
  </si>
  <si>
    <t>burst bubble in exterior glaze</t>
  </si>
  <si>
    <t>one sherd with chocolate brown streaks in glaze</t>
  </si>
  <si>
    <t>some sherds have black mottling, others have a patchy glaze on interior or exterior</t>
  </si>
  <si>
    <t>yellow buff slip on exterior, light pink slip under glaze</t>
  </si>
  <si>
    <t>dark brown, glossy and patchy on interior. Underside of handle is unglazed</t>
  </si>
  <si>
    <t>frequent yellow speckling on interior of both sherds</t>
  </si>
  <si>
    <t>patchy on interior and exterior, rim only partially covered. On interior brown glaze may suggest vessel fired upside down</t>
  </si>
  <si>
    <t>thin and patchy on interior, uneven glaze on exterior giving an uneven appearance</t>
  </si>
  <si>
    <t>one sherd has thin glaze on interior, very thin metallic glaze on exterior</t>
  </si>
  <si>
    <t>glossier glaze with moderate speckling on interior</t>
  </si>
  <si>
    <t>very small patch only</t>
  </si>
  <si>
    <t>very dusty glaze with black mottling</t>
  </si>
  <si>
    <t>slightly patchy on interior</t>
  </si>
  <si>
    <t>extremely thin, cream slip under glaze</t>
  </si>
  <si>
    <t>no inclusions on interior</t>
  </si>
  <si>
    <t>all patchy on interior, two patchy on exterior</t>
  </si>
  <si>
    <t>one sherd is patchy on interior</t>
  </si>
  <si>
    <t>no slip under glaze</t>
  </si>
  <si>
    <t>slight streak only on interior, small spot on exterior</t>
  </si>
  <si>
    <t>dark brown and slightly less metallic on interior, patchy on interior and exterior, where absent walls are a metallic purple</t>
  </si>
  <si>
    <t>on exterior glaze is only present on underside of base. Glaze is black with purple patches on interior. Where glaze absent vessel has a purple metallic sheen</t>
  </si>
  <si>
    <t>underside of handle patchily glazed</t>
  </si>
  <si>
    <t>slightly thin over rim</t>
  </si>
  <si>
    <t>patchy glaze around base on exterior</t>
  </si>
  <si>
    <t>glaze is particularly metallic around ridges of Wrenthorpe mark</t>
  </si>
  <si>
    <t>more metallic on interior</t>
  </si>
  <si>
    <t>slight trace of glaze on upper part of interior</t>
  </si>
  <si>
    <t>black mottles, slight patches of glaze on interior</t>
  </si>
  <si>
    <t>glossier glaze on interior</t>
  </si>
  <si>
    <t>extremely patchy on top of handle, underside unglazed</t>
  </si>
  <si>
    <t>glossier and dark brown in colour on interior</t>
  </si>
  <si>
    <t>extremely patchy</t>
  </si>
  <si>
    <t>purple sheen on interior</t>
  </si>
  <si>
    <t>patchy on exterior, on interior less metallic and varies from purple to black in colour</t>
  </si>
  <si>
    <t>thin glaze</t>
  </si>
  <si>
    <t>slightly uneven around base on exterior, small area unglazed</t>
  </si>
  <si>
    <t>slightly uneven around base on exterior</t>
  </si>
  <si>
    <t>matt glaze on interior</t>
  </si>
  <si>
    <t>scuffed exterior</t>
  </si>
  <si>
    <t>exterior abraded, light pink slip under glaze</t>
  </si>
  <si>
    <t>very thin glaze, cream slip under glaze</t>
  </si>
  <si>
    <t>very thin patchy on interior which is mostly unglazed. On exterior chocolate brown glaze with black streaks increasing towards base</t>
  </si>
  <si>
    <t>top glazed, bottom unglazed. Black iron spots in glaze</t>
  </si>
  <si>
    <t>varies slightly between near black and dark brown. Uneven edge towards base on exterior, underside of base unglazed</t>
  </si>
  <si>
    <t>patchy on exterior, leg appears to be glazed</t>
  </si>
  <si>
    <t>no inclusions on interior. Glaze is uneven towards base on exterior with large areas, including basal pedestal and underside, unglazed</t>
  </si>
  <si>
    <t>chocolate brown glaze with black patches, thinner and more metallic on interior</t>
  </si>
  <si>
    <t>slight smear on interior, uneven edge on exterior towards base with base and area above unglazed</t>
  </si>
  <si>
    <t>base of interior only glazed, externally uneven and patchy towards base. Slight patches of glaze only on basal pedestal</t>
  </si>
  <si>
    <t>large areas of interior walls unglazed and exterior has an uneven glaze. Glaze is patchy around base (basal pedestal and base unglazed). Where glaze is absent there is a purple metallic sheen</t>
  </si>
  <si>
    <t>lower half of basal pedestal and underside of base on exterior unglazed</t>
  </si>
  <si>
    <t>patchy on interior and exterior towards base. Base and much of basal pedestal unglazed</t>
  </si>
  <si>
    <t>very small yellow flecks</t>
  </si>
  <si>
    <t>slightly thin and more metallic on interior</t>
  </si>
  <si>
    <t>slight patch of glaze towards top internally, dusty glaze externally</t>
  </si>
  <si>
    <t>slight patch of glaze towards top internally, scuffed glaze externally</t>
  </si>
  <si>
    <t>scuffed glaze externally, underside of handle glazed</t>
  </si>
  <si>
    <t>chocolate brown glaze with black mottles, patchy underneath handle</t>
  </si>
  <si>
    <t>very patchy on exterior</t>
  </si>
  <si>
    <t>one sherd is patchy on interior and one is less metallic and black on interior</t>
  </si>
  <si>
    <t>extremely metallic</t>
  </si>
  <si>
    <t>one  sherd with a very dusty glaze, the sherds have a patchy glaze on their interior</t>
  </si>
  <si>
    <t>two are patchy on the interior, one patchy on the exterior</t>
  </si>
  <si>
    <t>dark red slip on exterior, off-white slip under glaze, heavily abraded</t>
  </si>
  <si>
    <t>yellow buff slip on exterior, cream slip under glaze</t>
  </si>
  <si>
    <t>most of glaze abraded, buff slip on exterior. Internally unglazed?</t>
  </si>
  <si>
    <t>patchy on exterior, especially under handle</t>
  </si>
  <si>
    <t>very metallic, especially on interior. Patchy on exterior below rim</t>
  </si>
  <si>
    <t>one sherd has slight patches of glaze on interior</t>
  </si>
  <si>
    <t>slight blob of glaze only</t>
  </si>
  <si>
    <t>black iron spots in glaze, patchy on interior and slightly patchy on exterior</t>
  </si>
  <si>
    <t>extremely patchy on interior and exterior, underside of handle unglazed</t>
  </si>
  <si>
    <t>large black iron streaks in glaze, patchy on interior</t>
  </si>
  <si>
    <t>a few metallic spots on exterior and glossier patch on interior</t>
  </si>
  <si>
    <t>very thin on interior, extremely patchy on top of handle and underside of handle unglazed</t>
  </si>
  <si>
    <t>patchy on interior and exterior, underside of handle unglazed</t>
  </si>
  <si>
    <t>one sherd  has a very thin and patchy glaze on interior, the other is black and more metallic</t>
  </si>
  <si>
    <t>chocolate brown with black mottles, very patchy on both sides</t>
  </si>
  <si>
    <t>thin and slightly patchy on interior, patchy on exterior towards base. Underside of handle unglazed</t>
  </si>
  <si>
    <t>slightly patchy on exterior around rim</t>
  </si>
  <si>
    <t>patchy on interior, slight blob only on exterior, underside unglazed</t>
  </si>
  <si>
    <t>dark chocolate brown with black streaks, underside of base unglazed</t>
  </si>
  <si>
    <t>glaze is thin on vessel walls on interior</t>
  </si>
  <si>
    <t>uneven edge around base on exterior, thinner and more metallic on walls on interior</t>
  </si>
  <si>
    <t>thin and patchy on underside of handle</t>
  </si>
  <si>
    <t>thinner and more metallic near top of handle and on underside</t>
  </si>
  <si>
    <t>one sherd is patchy on interior and exterior</t>
  </si>
  <si>
    <t>some sherds have chocolate brown streaks, two sherds have a thin glaze on interior</t>
  </si>
  <si>
    <t>large dribble over purple slip on exterior only. Interior is slightly more brown</t>
  </si>
  <si>
    <t>one sherd with small dimples in glaze</t>
  </si>
  <si>
    <t>buff pink slip on exterior and under glaze, slight pooling of glaze around edge of base</t>
  </si>
  <si>
    <t>buff slip on exterior, glaze extends to lip of rim</t>
  </si>
  <si>
    <t>buff pink slip on exterior, no slip on interior(?)</t>
  </si>
  <si>
    <t>patchy on interior and exterior</t>
  </si>
  <si>
    <t>patchy, underside of handle largely unglazed. Black iron spots in glaze</t>
  </si>
  <si>
    <t>very patchy and burst bubbles in glaze, underside unglazed</t>
  </si>
  <si>
    <t>patchy on interior and exterior, especially on handle. Underside of handle unglazed</t>
  </si>
  <si>
    <t>dark red slip on exterior, iron spots in glaze</t>
  </si>
  <si>
    <t>patchy on exterior, less metallic and more brown on interior</t>
  </si>
  <si>
    <t>less metallic and dark brown in colour on interior</t>
  </si>
  <si>
    <t>black patches on exterior</t>
  </si>
  <si>
    <t>slight patches unglazed on exterior, tiny splashes on interior base</t>
  </si>
  <si>
    <t>slight pooling of glaze on interior as fired on edge, slight patch near base unglazed</t>
  </si>
  <si>
    <t>on exterior glaze finishes before base, internally large chocolate brown patches</t>
  </si>
  <si>
    <t>splashes only on exterior</t>
  </si>
  <si>
    <t>slight patchy around rim</t>
  </si>
  <si>
    <t>black patches where less metallic</t>
  </si>
  <si>
    <t>exterior glaze has an uneven edge and is unglazed near bottom of vessel. Glaze is thinner and more metallic on interior</t>
  </si>
  <si>
    <t>interior abraded, large black iron patches in glaze</t>
  </si>
  <si>
    <t>small dribbles only near base</t>
  </si>
  <si>
    <t>purple sheen on edges of handle</t>
  </si>
  <si>
    <t>patchy on exterior over red slip</t>
  </si>
  <si>
    <t>large purple patches on interior, the glaze of which consists of a large dribble. Internally glaze is glossier and a more consistent black</t>
  </si>
  <si>
    <t>slight glaze patch near base</t>
  </si>
  <si>
    <t>buff slip under glaze and on rim, slight patch unglazed on interior near rim</t>
  </si>
  <si>
    <t>increased yellow flecking on interior, where glaze is thinner</t>
  </si>
  <si>
    <t>scuffed on exterior, underside of handle thinly glazed</t>
  </si>
  <si>
    <t>thin and patchy on interior and exterior with purple areas</t>
  </si>
  <si>
    <t>one sherd is thinly glazed internally, the other two sherds are more metallic on interior</t>
  </si>
  <si>
    <t>white slip under glaze, pink buff slip on exterior</t>
  </si>
  <si>
    <t>patchy on interior, buff slip under glaze</t>
  </si>
  <si>
    <t>buff slip on exterior, white slip under glaze</t>
  </si>
  <si>
    <t>light yellow slip under glaze and on exterior</t>
  </si>
  <si>
    <t>buff slip on exterior and, very thinly, under glaze</t>
  </si>
  <si>
    <t>buff pink slip on exterior, white slip under glaze</t>
  </si>
  <si>
    <t>frequent black iron spots in glaze. Mid orange red slip on exterior, glaze extends patchily over rim</t>
  </si>
  <si>
    <t>black iron spots in glaze, dark red slip on exterior</t>
  </si>
  <si>
    <t>patchy on interior, very light yellow speckling</t>
  </si>
  <si>
    <t>metallic patches on interior</t>
  </si>
  <si>
    <t>pink slip under glaze, glaze is patchy above and underneath handle on exterior, underside of handle unglazed. Glaze is abraded on exterior and heavily abraded on interior</t>
  </si>
  <si>
    <t>see 572</t>
  </si>
  <si>
    <t>beyond neck of vessel interior is unglazed with purple sheen</t>
  </si>
  <si>
    <t>slightly patchy internally</t>
  </si>
  <si>
    <t>slightly thin and patchy on both sides</t>
  </si>
  <si>
    <t>black marbling in glaze on exterior</t>
  </si>
  <si>
    <t>slight dimples in glaze</t>
  </si>
  <si>
    <t>one sherd has black iron mottles in glaze</t>
  </si>
  <si>
    <t>patchy on exterior. On interior glaze is thicker, glossier and dark brown in colour</t>
  </si>
  <si>
    <t>buff slip on exterior, no slip under glaze. Handle has only thin glaze near top and mostly unglazed</t>
  </si>
  <si>
    <t>one sherd only partially glazed internally</t>
  </si>
  <si>
    <t>small area unglazed externally</t>
  </si>
  <si>
    <t>very thin and patchy on exterior, large areas unglazed. Glossier on interior</t>
  </si>
  <si>
    <t>slightly patchy on exterior</t>
  </si>
  <si>
    <t>chocolate brown glaze with black patches</t>
  </si>
  <si>
    <t>thin and patchy on interior, black mottles in glaze</t>
  </si>
  <si>
    <t>buff slip on exterior with slight patch of glaze, no slip under glaze?</t>
  </si>
  <si>
    <t>partially unglazed externally</t>
  </si>
  <si>
    <t>patchy internally</t>
  </si>
  <si>
    <t>exterior scuffed</t>
  </si>
  <si>
    <t>chocolate brown patches externally</t>
  </si>
  <si>
    <t>unslipped under glaze, interior of pedestal unglazed, foot of base partially glazed</t>
  </si>
  <si>
    <t>slightly patchy on interior, dark purple brown in colour</t>
  </si>
  <si>
    <t>very slight yellow speckling in glaze</t>
  </si>
  <si>
    <t>metallic purple sheen on exterior, including on underside of base</t>
  </si>
  <si>
    <t>patchy on interior, underside of handle unglazed</t>
  </si>
  <si>
    <t>patchy on rim and just below rim on exterior, underside of handle unglazed</t>
  </si>
  <si>
    <t>glaze extends over lip of rim, dark red slip externally. Black iron spots and streaks in glaze.</t>
  </si>
  <si>
    <t>pooling on interior base  suggests vessel was fired whilst tilted. Glaze is slightly patchy with light green tinges in places. Light buff slip under glaze. Underside of base glazed</t>
  </si>
  <si>
    <t>thin and patchy on interior and exterior. Upper portion has pink slip and lower portion a light buff slip leading to a glaze varying from light yellow to mid buff yellow, although patches of light yellow on rim too. Underside of base slipped but unglazed</t>
  </si>
  <si>
    <t>faint metallic streaks in glaze, blobs of glaze on underside of base although mostly unglazed</t>
  </si>
  <si>
    <t>uneven edge around base on exterior, underside of base unglazed</t>
  </si>
  <si>
    <t>glaze extends over edge of base on exterior but majority of underside unglazed. On interior glaze is very patchy with metallic purple sheen where absent</t>
  </si>
  <si>
    <t>rim glazed on interior, very thin and patchy on exterior with unevenly applied glaze displaying undulations and 'hammered' appearance. Where glaze is absent metallic sheen present</t>
  </si>
  <si>
    <t>patchy on exterior and interior. Where glaze is absent a dark red sheen is present. No slip on underside of base</t>
  </si>
  <si>
    <t>on exterior only one patch of glaze</t>
  </si>
  <si>
    <t>patchy on exterior, thin on interior</t>
  </si>
  <si>
    <t>dirty glaze, black with chocolate brown mottles. Underside of handle glazed</t>
  </si>
  <si>
    <t>metallic chocolate brown patches overlying black patches on exterior only</t>
  </si>
  <si>
    <t>purple where glaze is metallic, less metallic and dark brown in colour on interior. On exterior glaze is very patchy under lip of rim</t>
  </si>
  <si>
    <t>patchy on exterior under rim and slightly patchy on interior, underside of handles unglazed</t>
  </si>
  <si>
    <t>light buff slip under glaze, underside of base unglazed. Very uneven glaze, light green in colour in many places. Uneven towards base and thin and patchy on interior.</t>
  </si>
  <si>
    <t>heavily tinged with light green</t>
  </si>
  <si>
    <t>buff slip on exterior, light buff but patchy on interior under glaze</t>
  </si>
  <si>
    <t>patchy on exterior with uneven edge, does not extend under base. Buff pink slip on exterior and under glaze</t>
  </si>
  <si>
    <t>patchy on exterior with uneven edge, glaze partially extends underneath base. Buff slip on exterior and under glaze</t>
  </si>
  <si>
    <t>slightly thin on exterior with dark red spots from slip splashes, no slip visible</t>
  </si>
  <si>
    <t xml:space="preserve">patchy on exterior with large thin dribbles of glaze. On interior glaze is darker in colour </t>
  </si>
  <si>
    <t>darker on interior. Exterior is patchy towards bottom of sherd with large dribbles, glaze is heavily dimpled</t>
  </si>
  <si>
    <t>spots only on exterior, thin on interior</t>
  </si>
  <si>
    <t>heavily dimpled glaze</t>
  </si>
  <si>
    <t>occasional iron spots in glaze</t>
  </si>
  <si>
    <t>slight streak on interior</t>
  </si>
  <si>
    <t>thin on underside of handle, purple where glaze is thin</t>
  </si>
  <si>
    <t>thin and more metallic on interior</t>
  </si>
  <si>
    <t>thin and patchy on interior and exterior, underside of base unglazed</t>
  </si>
  <si>
    <t>matt glaze with purple patch</t>
  </si>
  <si>
    <t>very slight patches on interior. On exterior glaze has an uneven edge towards base with areas around base unglazed, as is underside of base itself</t>
  </si>
  <si>
    <t>underside of handle unglazed, patchy on interior</t>
  </si>
  <si>
    <t>less metallic on interior, very patchy around rim on interior and exterior. Underside of handle is largely unglazed</t>
  </si>
  <si>
    <t>thin and patchy glaze, especially on interior, basal pedestal and underside of base unglazed</t>
  </si>
  <si>
    <t>uneven edge around basal pedestal, underside of base unglazed</t>
  </si>
  <si>
    <t>uneven edge on exterior around base, underside unglazed</t>
  </si>
  <si>
    <t>glaze does not fully extend over basal pedestal</t>
  </si>
  <si>
    <t>thin and patchy over rim</t>
  </si>
  <si>
    <t>frequent small dimples in glaze</t>
  </si>
  <si>
    <t>glossy and micaceous glaze</t>
  </si>
  <si>
    <t>abundant small dimples in glaze</t>
  </si>
  <si>
    <t>thin on handle, purple where glaze is thin</t>
  </si>
  <si>
    <t>thin with iron spots</t>
  </si>
  <si>
    <t>iron spots in glaze</t>
  </si>
  <si>
    <t>thin glaze, pink slip under glaze</t>
  </si>
  <si>
    <t>buff slip on exterior, white slip under glaze?</t>
  </si>
  <si>
    <t>dark red slip on exterior, red slip under glaze</t>
  </si>
  <si>
    <t>uneven edge around base on exterior</t>
  </si>
  <si>
    <t>neck of interior glazed</t>
  </si>
  <si>
    <t>patchy on interior, with glaze largely non-existent towards base. On exterior patch near base unglazed, underside of base unglazed</t>
  </si>
  <si>
    <t>very patchy on interior with large areas unglazed.  On exterior large dribbles only on basal pedestal and underside is unglazed</t>
  </si>
  <si>
    <t>thin in one patch on interior, on exterior largely unglazed near base, underside of base is unglazed</t>
  </si>
  <si>
    <t>slight patches on exterior unglazed, as is underside of base. Interior is thinly glazed in places</t>
  </si>
  <si>
    <t>black iron spots in glaze, patchy  on interior</t>
  </si>
  <si>
    <t xml:space="preserve">iron spots in glaze, slightly thin in one patch of interior </t>
  </si>
  <si>
    <t>very small yellow flecks and black iron spots in glaze. Patchy on interior and exterior near base, underside of base unglazed</t>
  </si>
  <si>
    <t>more yellow speckling on interior</t>
  </si>
  <si>
    <t>slight patch of glaze on interior</t>
  </si>
  <si>
    <t>patch on underside of handle unglazed</t>
  </si>
  <si>
    <t>Glaze is patchy on right side of handle and on its underside</t>
  </si>
  <si>
    <t>thin and patchy under rim on exterior and below rim on interior</t>
  </si>
  <si>
    <t>underside of handle largely unglazed</t>
  </si>
  <si>
    <t>black mottles occasionally visible, underside of handle glazed</t>
  </si>
  <si>
    <t>very patchy on exterior and on interior, on interior only present on ridges of throwing rings</t>
  </si>
  <si>
    <t>patchy on interior and exterior, underside of base and surrounding area unglazed</t>
  </si>
  <si>
    <t>occasional iron spots in glaze, buff slip under glaze</t>
  </si>
  <si>
    <t>patchy on interior and near base on exterior, light buff slip under glaze. Underside of base is unglazed</t>
  </si>
  <si>
    <t>many small dimples in glaze, thin and patchy on interior towards base. On exterior large dribbles only extend to base and underside is unglazed</t>
  </si>
  <si>
    <t>many small dimples in glaze, thin and patchy on interior</t>
  </si>
  <si>
    <t>many small dimples in glaze</t>
  </si>
  <si>
    <t>slightly thin on underside of handle</t>
  </si>
  <si>
    <t>chocolate brown glaze with black patches, especially on body of vessel</t>
  </si>
  <si>
    <t>dimples in glaze on body of vessel. Thin glaze and more metallic on underside of handle</t>
  </si>
  <si>
    <t>spots only on interior, exterior glazed apart from one small area</t>
  </si>
  <si>
    <t>more metallic on edges of handle, top of ridge and underside of handle</t>
  </si>
  <si>
    <t>thinner and more metallic in patches on interior, on exterior glaze terminates with an uneven edge above basal pedestal</t>
  </si>
  <si>
    <t>light buff slip externally and under glaze</t>
  </si>
  <si>
    <t>micaceous glaze, iron streaks in glaze, dribbles only extend over basal pedestal externally and underside is unglazed</t>
  </si>
  <si>
    <t>large dribbles only exterior, do not extend to basal pedestal. Chocolate brown glaze with black mottling</t>
  </si>
  <si>
    <t>micaceous glaze with iron streaks in glaze</t>
  </si>
  <si>
    <t>scuffed glaze on upperside, underside only partially glazed</t>
  </si>
  <si>
    <t>dark red slip on exterior and interior</t>
  </si>
  <si>
    <t>variegated glaze from dark brown and dark green to light yellow dependent on presence of white slip under glaze</t>
  </si>
  <si>
    <t>slightly uneven colour with darker yellow patches. Glaze has an uneven edge near base on exterior and underside of base is unglazed. Buff pink slip on exterior and under glaze</t>
  </si>
  <si>
    <t>slightly patchy towards bottom of one sherd, buff slip under glaze</t>
  </si>
  <si>
    <t>patchy on interior and exterior, light buff slip under glaze</t>
  </si>
  <si>
    <t>thin and slightly patchy on interior and exterior</t>
  </si>
  <si>
    <t>cream slip under glaze</t>
  </si>
  <si>
    <t>buff slip under glaze, patchy on side of handle</t>
  </si>
  <si>
    <t>uneven edge around base, basal pedestal only partially glazed</t>
  </si>
  <si>
    <t>exterior may be unglazed due to proximity to base, underside of base unglazed</t>
  </si>
  <si>
    <t>thin on underside of handle, patch unglazed on exterior</t>
  </si>
  <si>
    <t>small patch of glaze on interior, on exterior glaze has an uneven edge near the base</t>
  </si>
  <si>
    <t>glossy glaze with iron streaks. Thin and patchy on interior and near base on exterior, base unglazed</t>
  </si>
  <si>
    <t>patchy on interior and exterior, very fine yellow flecks in glaze</t>
  </si>
  <si>
    <t>buff slip on exterior, light buff slip under glaze (?). Brown glaze on rim</t>
  </si>
  <si>
    <t>light buff slip under glaze, areas of buff pink slip on rim and exterior creating orange patches in glaze</t>
  </si>
  <si>
    <t>ridge of glaze down centre of handle</t>
  </si>
  <si>
    <t>patchy towards base of neck on interior, light dimples in glaze</t>
  </si>
  <si>
    <t>slightly patchy on interior near base, traces of glaze on underside of base. Iron streaks in glaze</t>
  </si>
  <si>
    <t>heavily burnt and vitrified glaze</t>
  </si>
  <si>
    <t>light buff slip under glaze, slightly patchy on interior</t>
  </si>
  <si>
    <t>buff slip under glaze, slightly patchy on interior and exterior</t>
  </si>
  <si>
    <t>underside of handle glazed, chocolate brown streaks in glaze</t>
  </si>
  <si>
    <t>thin on exterior, dark brown patch of glaze on rim. Off-white slip under glaze</t>
  </si>
  <si>
    <t>heavily burnt and blistered, especially on interior</t>
  </si>
  <si>
    <t>frequent yellow speckling in glaze</t>
  </si>
  <si>
    <t>burnt</t>
  </si>
  <si>
    <t>light buff slip under glaze and on exterior, rim slipped but unglazed</t>
  </si>
  <si>
    <t>thin near base on interior</t>
  </si>
  <si>
    <t>dark green brown glaze</t>
  </si>
  <si>
    <t>patchy on top of handle, underside unglazed</t>
  </si>
  <si>
    <t>very thin and patchy on interior</t>
  </si>
  <si>
    <t>one sherd has thin glaze over rim</t>
  </si>
  <si>
    <t>thin in places on interior, many small dimples in glaze</t>
  </si>
  <si>
    <t>patchy on interior and below bottom handle attachment, iron streaks in glaze</t>
  </si>
  <si>
    <t>thin and patchy on exterior</t>
  </si>
  <si>
    <t>very patchy on interior, bright pink specks in glaze</t>
  </si>
  <si>
    <t>slightly patchy on underside of handles</t>
  </si>
  <si>
    <t>slightly uneven around basal pedestal on exterior</t>
  </si>
  <si>
    <t>very patchy around rim with large areas unglazed</t>
  </si>
  <si>
    <t>more metallic on interior, uneven edge above basal pedestal on exterior and underside of base is unglazed</t>
  </si>
  <si>
    <t>glaze partially extends onto base on exterior</t>
  </si>
  <si>
    <t>slightly thin on interior</t>
  </si>
  <si>
    <t>thin and patchy on interior and exterior. Where glaze is thin it is also a lot more metallic</t>
  </si>
  <si>
    <t>thin and patchy on exterior and interior</t>
  </si>
  <si>
    <t>off-white slip under glaze, light buff pink on exterior in places near base leading to patches of orange yellow glaze</t>
  </si>
  <si>
    <t>very variable glaze from light yellow to light green, also extremely patchy on the seven joining sherds. Buff slip under glaze with very dirty buff slip on exterior</t>
  </si>
  <si>
    <t>light buff slip under glaze, patchy coverage towards base on exterior and interior with patches of darker yellow in glaze</t>
  </si>
  <si>
    <t>large dribble of glaze only on exterior of basal sherd, interior is extremely patchy above base. Buff to light buff slip under glaze</t>
  </si>
  <si>
    <t>dark buff slip on exterior, light buff slip under glaze and extending over lip of rim, some darker yellow patches of glaze. Glaze extends to lip of rim</t>
  </si>
  <si>
    <t>orange buff slip on exterior overlain by light buff slip which extends under glaze on interior and exterior. Uneven edge to glaze on exterior and thin on interior</t>
  </si>
  <si>
    <t>buff slip on exterior and light buff under glaze but extremely abraded and only a few tiny remnants remaining</t>
  </si>
  <si>
    <t>buff pink slip on exterior and white slip overlain by buff slip under glaze. Patchy glaze over rim which does not extend over lip</t>
  </si>
  <si>
    <t>light buff to buff pink slip on exterior, white slip under glaze. Very abraded, especially on rim</t>
  </si>
  <si>
    <t>light buff slip on exterior, white slip under glaze. Very abraded</t>
  </si>
  <si>
    <t>light buff pink on exterior and under glaze. Extremely abraded</t>
  </si>
  <si>
    <t>purple slip on interior and exterior</t>
  </si>
  <si>
    <t>largely unglazed with a trace of glaze on ridges of handle</t>
  </si>
  <si>
    <t>slight spot of glaze on interior</t>
  </si>
  <si>
    <t>red slip on exterior with white slip under glaze. Slight traces of glaze on underside of base</t>
  </si>
  <si>
    <t>red slip under glaze and also partially covers exterior. Glaze contains iron spots and is patchy near rim</t>
  </si>
  <si>
    <t>pink slip on exterior, off-white slip under glaze. Glaze extends patchily over rim, white slip continues over lip of rim</t>
  </si>
  <si>
    <t>patchy on interior  with large areas unglazed. Slightly patchy on exterior, underside of base largely unglazed. Chocolate brown streaks in glaze</t>
  </si>
  <si>
    <t>slightly patchy on interior and underneath handle</t>
  </si>
  <si>
    <t>one sherd is slightly patchy on underside of handle</t>
  </si>
  <si>
    <t>uneven edge around base on exterior with large areas unglazed, very thin and patchy on interior</t>
  </si>
  <si>
    <t>underside of base partially covered, glazed fully to base on exterior. Iron streaks in glaze</t>
  </si>
  <si>
    <t>basal pedestal only partially glazed on exterior</t>
  </si>
  <si>
    <t>thin on walls of interior, on exterior uneven edge around base</t>
  </si>
  <si>
    <t>streaks give glaze a pink tinge, black iron streaks in glaze. Uneven edge around base and towards base of interior glaze is thin over throwing rings</t>
  </si>
  <si>
    <t>iron streaks in glaze. One has frequent yellow speckling on interior, two are patchy underneath handle attachment</t>
  </si>
  <si>
    <t>thinner and more metallic on underside of handle</t>
  </si>
  <si>
    <t>one sherd has a very thin glaze on all sides and as a result is more metallic in places</t>
  </si>
  <si>
    <t>one spot only on interior</t>
  </si>
  <si>
    <t>blistered on interior</t>
  </si>
  <si>
    <t>spots of glaze one exterior only, on interior near base glaze is dark brown and less metallic</t>
  </si>
  <si>
    <t>thin in places on exterior, on interior glaze is thin and patchy, especially near base where it is dark brown in colour</t>
  </si>
  <si>
    <t>purple metallic sheen on exterior</t>
  </si>
  <si>
    <t>dirty dark pink slip on exterior and on interior, glaze varies from light-mid yellow to light-mid green. It extends over rim but is very patchy on interior and exterior</t>
  </si>
  <si>
    <t>very abraded, glaze has small patches of light green</t>
  </si>
  <si>
    <t>light buff slip under glaze, buff on exterior. Glaze extends to, but not over, lip of rim</t>
  </si>
  <si>
    <t>light pink slip under glaze and on exterior. Glaze extends to lip of rim but not over</t>
  </si>
  <si>
    <t>patchy on interior and exterior, black streaks in glaze</t>
  </si>
  <si>
    <t>dark brown in colour where less metallic. Splash of glaze on base of interior, uneven edge around base on exterior with large areas unglazed</t>
  </si>
  <si>
    <t>large splash of glaze on base of interior, on exterior patchy and uneven around base</t>
  </si>
  <si>
    <t>thin and more metallic on interior, patchy around base on exterior</t>
  </si>
  <si>
    <t>patchy on underside of handle, large areas unglazed around rim</t>
  </si>
  <si>
    <t>chocolate brown streaks in glaze on exterior, more metallic on interior. Patchy on underside of handle</t>
  </si>
  <si>
    <t>iron spots in glaze. Glaze is patchy on interior and exterior, especially around base and rim</t>
  </si>
  <si>
    <t>iron spots in glaze, underside of handle largely unglazed</t>
  </si>
  <si>
    <t>moderately micaceous glaze, slightly patchy on interior and underside of rim unglazed on exterior</t>
  </si>
  <si>
    <t>patchy on interior, uneven edge around basal pedestal</t>
  </si>
  <si>
    <t>basal pedestal unglazed</t>
  </si>
  <si>
    <t>uneven edge above basal pedestal on exterior</t>
  </si>
  <si>
    <t>only one patch of glaze on interior, the rest of the vessel is unglazed</t>
  </si>
  <si>
    <t>off-white slip under glaze, red slip has created small areas of orange glaze around base and rim. Underside of base unglazed and unslipped</t>
  </si>
  <si>
    <t>iron spot in glaze, underside of handle unglazed, slightly patchy on interior</t>
  </si>
  <si>
    <t>black patches in glaze, underside is fully glazed</t>
  </si>
  <si>
    <t>one sherd is unglazed internally</t>
  </si>
  <si>
    <t>scuffed around rim, thin and patchy on interior</t>
  </si>
  <si>
    <t>purple in colour where metallic</t>
  </si>
  <si>
    <t>dirty glaze, one has patchy glaze underneath handle</t>
  </si>
  <si>
    <t>dirty glaze, patchy underneath handle</t>
  </si>
  <si>
    <t>patchy on interior, thin on underside of handle</t>
  </si>
  <si>
    <t>large patches unglazed on interior, patchy on underside of handle</t>
  </si>
  <si>
    <t>dribble of glaze only on interior</t>
  </si>
  <si>
    <t>purple in colour where metallic. Underside of handle unglazed</t>
  </si>
  <si>
    <t>glaze is more metallic and patchier on handle attachment</t>
  </si>
  <si>
    <t>metallic purple sheen to interior, uneven edge to glaze above base on exterior</t>
  </si>
  <si>
    <t>black where less metallic</t>
  </si>
  <si>
    <t>one small patch on interior, black iron spots in glaze</t>
  </si>
  <si>
    <t>large chocolate brown mottles in glaze</t>
  </si>
  <si>
    <t>on exterior slight smear of glaze above basal pedestal. Iron spots in glaze</t>
  </si>
  <si>
    <t>uneven edge underneath lower handle attachment</t>
  </si>
  <si>
    <t>splash of glaze only on external basal pedestal</t>
  </si>
  <si>
    <t>micaceous glaze on exterior, more metallic on interior</t>
  </si>
  <si>
    <t>thin and patchy on interior, uneven edge around basal pedestal on exterior, underside of base largely unglazed</t>
  </si>
  <si>
    <t>uneven edge around base on exterior with thin and patchy glaze. Elsewhere very glossy glaze</t>
  </si>
  <si>
    <t>dark chocolate brown in colour with black mottles, patchier and more metallic in places on interior</t>
  </si>
  <si>
    <t>occasional smears only on exterior, but little of wall remaining.</t>
  </si>
  <si>
    <t>scuffed on exterior and abraded, iron streaks in glaze and slightly micaceous</t>
  </si>
  <si>
    <t>patchy on vessel walls and slightly patchy on base on interior. Underside of base unglazed</t>
  </si>
  <si>
    <t>slight patch unglazed on exterior</t>
  </si>
  <si>
    <t>dirty glaze on exterior, uneven edge around base with large dribbles on  basal pedestal. On interior thinner and more metallic</t>
  </si>
  <si>
    <t>very glossy glaze, thinner and more metallic on interior</t>
  </si>
  <si>
    <t>chocolate brown glaze on interior</t>
  </si>
  <si>
    <t>thinner and more metallic on lip of rim</t>
  </si>
  <si>
    <t>thinner and more metallic on interior. Exterior has frequent chocolate brown streaks and glaze is patchy around base</t>
  </si>
  <si>
    <t>slight smear of glaze near top of sherd on exterior</t>
  </si>
  <si>
    <t>small patches of thinner glaze around base on exterior</t>
  </si>
  <si>
    <t>little of walls remaining externally. Iron spots in glaze</t>
  </si>
  <si>
    <t>slightly thin on left of handle and on its underside</t>
  </si>
  <si>
    <t>black in colour where less metallic, particularly on interior</t>
  </si>
  <si>
    <t>glaze on one sherd is thin on underside of handle</t>
  </si>
  <si>
    <t>two have a thin glaze on underside of handle, another is more metallic</t>
  </si>
  <si>
    <t>one patch on upper and underside of handle, the other more metallic</t>
  </si>
  <si>
    <t>very thin and patchy on handle</t>
  </si>
  <si>
    <t>exterior abraded, interior has buff slip under glaze</t>
  </si>
  <si>
    <t>buff slip under glaze, patchy on interior</t>
  </si>
  <si>
    <t>off-white slip under glaze, slip is a darker yellow around rim</t>
  </si>
  <si>
    <t>glaze abraded, white slip on handle over buff slip but buff slip only on underside of handle</t>
  </si>
  <si>
    <t>occasional spots only on exterior, iron spots in glaze</t>
  </si>
  <si>
    <t>"late Humberware" type glaze moving from dark green to bright orange. Patchy on parts of interior and exterior towards base. Handle displays medieval style of glazing with underside of handle largely unglazed</t>
  </si>
  <si>
    <t>uneven edge around basal pedestal</t>
  </si>
  <si>
    <t>large dribbles of black glaze on interior only</t>
  </si>
  <si>
    <t>iron spots in glaze, interior only partially glazed</t>
  </si>
  <si>
    <t>thinner on interior</t>
  </si>
  <si>
    <t>only one patch on interior and very thin on exterior. Underside of base is unglazed and unslipped</t>
  </si>
  <si>
    <t>very micaceous glaze, uneven edge around basal pedestal</t>
  </si>
  <si>
    <t>large patch unglazed on exterior, interior thin in places</t>
  </si>
  <si>
    <t>thin and more metallic on underside</t>
  </si>
  <si>
    <t>chocolate brown mottles in glaze, especially on underside of handle</t>
  </si>
  <si>
    <t>slightly patchy on interior towards centre of base</t>
  </si>
  <si>
    <t>large chocolate brown streaks in glaze, dribble only on exterior</t>
  </si>
  <si>
    <t>micaceous glaze, glaze is thin over rim</t>
  </si>
  <si>
    <t>only a few patches glazed on interior</t>
  </si>
  <si>
    <t>glossy glaze. Large deposit of glaze on interior of base, and underside of base glazed</t>
  </si>
  <si>
    <t>slightly patchy on underside of handle</t>
  </si>
  <si>
    <t>black mottles in glaze, underside of handle fully glazed</t>
  </si>
  <si>
    <t>glaze is chocolate brown around edges, underside fully glazed</t>
  </si>
  <si>
    <t>thin on underside of handle</t>
  </si>
  <si>
    <t>very thin and patchy on interior, small dimples in glaze on exterior</t>
  </si>
  <si>
    <t>uneven edge around base on exterior, slightly patchy in places on interior</t>
  </si>
  <si>
    <t>purple streaks in glaze. Glaze is thinner, brown in colour and patchy on interior</t>
  </si>
  <si>
    <t>small patches of black glaze</t>
  </si>
  <si>
    <t>chocolate brown glaze with frequent black streaks</t>
  </si>
  <si>
    <t>patchy and more metallic on underside of handle</t>
  </si>
  <si>
    <t>patchy around base on exterior, buff slip under glaze</t>
  </si>
  <si>
    <t>buff slip on exterior, pink slip under glaze</t>
  </si>
  <si>
    <t>buff slip on exterior, pink slip under glaze. Where meets under rim pink slip overlies buff. Occasional patches of lighter yellow</t>
  </si>
  <si>
    <t>buff slip on exterior and under glaze. Glaze is patchy, with some light yellow areas</t>
  </si>
  <si>
    <t>mainly chocolate brown on interior, although black on base. On exterior glaze has an uneven edge above basal pedestal</t>
  </si>
  <si>
    <t>dark brown in colour on interior, very patchy below lip on exterior</t>
  </si>
  <si>
    <t>bottom half of basal pedestal unglazed</t>
  </si>
  <si>
    <t>thin and patchy on interior with large areas, particularly the base, unglazed.</t>
  </si>
  <si>
    <t>buff slip on exterior, pink slip under glaze. Glaze abraded in places. Glaze extends to lip of rim but not over it</t>
  </si>
  <si>
    <t>dark red slip on exterior and interior, occasional splashes of glaze on interior</t>
  </si>
  <si>
    <t>patchy around base on exterior and on underside of handle</t>
  </si>
  <si>
    <t>patchy on upper portion of handle and its underside</t>
  </si>
  <si>
    <t>pink slip under glaze, dark pink slip on exterior</t>
  </si>
  <si>
    <t>patchy on upper portion of handle</t>
  </si>
  <si>
    <t>very overfired, particularly on interior where a matt purple in colour. Glaze discoloured on exterior too</t>
  </si>
  <si>
    <t>patchy on interior, uneven edge around bottom of sherds</t>
  </si>
  <si>
    <t>buff slip on exterior, pink under glaze</t>
  </si>
  <si>
    <t>patchy on base on interior</t>
  </si>
  <si>
    <t>thick glaze deposit on base of interior, external glaze has uneven edge around base</t>
  </si>
  <si>
    <t>buff slip on exterior, pink slip under glaze. Glaze extends over lip of rim</t>
  </si>
  <si>
    <t>buff slip on exterior, buff pink under glaze. Glaze slightly patchy on rim.</t>
  </si>
  <si>
    <t>very glossy glaze, underside of handle glazed</t>
  </si>
  <si>
    <t>black mottles in glaze, slightly patchy on handle attachment</t>
  </si>
  <si>
    <t>thin and patchy on exterior and interior, buff slip under glaze</t>
  </si>
  <si>
    <t>patchy on exterior with an uneven edge, interior has a glossy glaze</t>
  </si>
  <si>
    <t>splash of glaze on underside of base. Interior has a very glossy glaze</t>
  </si>
  <si>
    <t>thin and patchy on interior and exterior, basal pedestal on exterior is unglazed</t>
  </si>
  <si>
    <t>micaceous glaze, uneven edge on exterior above basal pedestal</t>
  </si>
  <si>
    <t>glaze is scuffed, slightly patchy on interior</t>
  </si>
  <si>
    <t>thin and metallic on underside of handle</t>
  </si>
  <si>
    <t>only base is glazed on interior, uneven edge around base on exterior</t>
  </si>
  <si>
    <t>uneven edge around base on exterior, glaze does not extend to base on interior</t>
  </si>
  <si>
    <t>very metallic glaze. Abraded on base on interior</t>
  </si>
  <si>
    <t>dirty glaze, uneven edge around base</t>
  </si>
  <si>
    <t>extensive chocolate brown streaks in glaze on exterior</t>
  </si>
  <si>
    <t>slightly dusty glaze</t>
  </si>
  <si>
    <t>scuffed glaze, iron spots in glaze</t>
  </si>
  <si>
    <t>patchy on exterior and interior, iron spots in glaze</t>
  </si>
  <si>
    <t>patchy on interior and exterior, iron spots in glaze</t>
  </si>
  <si>
    <t>slightly uneven edge around base on exterior, darker yellow patches on interior. Buff slip under glaze</t>
  </si>
  <si>
    <t>uneven edge around base on exterior, extremely patchy on interior with one large dribble of glaze only</t>
  </si>
  <si>
    <t>patchy on interior, on exterior vessel is unglazed towards base</t>
  </si>
  <si>
    <t>very scuffed and matt glaze. Internally thick glaze on base of vessel</t>
  </si>
  <si>
    <t>one sherd with bright red brown streaks in glaze</t>
  </si>
  <si>
    <t>thin and patchy on both handles, especially on underside</t>
  </si>
  <si>
    <t>scuffed glaze, thin and patchy on underside where glaze is also more metallic</t>
  </si>
  <si>
    <t>thin and more metallic on interior, slight deposits of glaze on underside of base</t>
  </si>
  <si>
    <t>light buff slip on exterior and under glaze. Dribble of glaze only on exterior</t>
  </si>
  <si>
    <t>green tinge to glaze on interior base. Glaze extends to base on exterior</t>
  </si>
  <si>
    <t>thin and patchy glaze, spots only on rim. Buff slip on exterior and light buff slip under glaze extending over lip of rim</t>
  </si>
  <si>
    <t>thin and patchy glaze partially extending over lip of rim. Buff pink slip on exterior and light buff slip under glaze extending over lip of rim</t>
  </si>
  <si>
    <t>buff slip on exterior, light buff pink slip under glaze, glaze does not extend to lip of rim</t>
  </si>
  <si>
    <t>very patchy on exterior. Buff slip under glaze and pink buff slip in exterior, buff in places</t>
  </si>
  <si>
    <t>underside of handle fully glazed</t>
  </si>
  <si>
    <t>splash of glaze only on exterior around base, on interior glaze is thick on base. Buff slip on exterior and under glaze</t>
  </si>
  <si>
    <t>very thin on interior, does not extend over lip of rim. Buff slip on exterior, pink slip under glaze</t>
  </si>
  <si>
    <t>thin and patchy on rim, buff slip on exterior, pink slip under glaze. Slip, but not glaze, extends over lip of rim</t>
  </si>
  <si>
    <t>slightly scuffed on exterior, thin and patchy on interior. Glaze has occasional burst bubbles on exterior</t>
  </si>
  <si>
    <t>underside of handle fully glazed, small dimples in glaze.</t>
  </si>
  <si>
    <t>buff slip under glaze, thin and patchy on underside</t>
  </si>
  <si>
    <t>thin glaze, uneven edge around bottom of vessel on exterior. Interior is completely unglazed</t>
  </si>
  <si>
    <t>thin and patchy on interior, black iron spots in glaze, uneven edge towards base. Glaze is thin on underside of handle</t>
  </si>
  <si>
    <t>extremely patchy on exterior, dark red slip only partially covers exterior</t>
  </si>
  <si>
    <t>thin and patchy in places on interior</t>
  </si>
  <si>
    <t>thin and more metallic on top of handle</t>
  </si>
  <si>
    <t>a few spots of glaze on exterior. Glossy metallic glaze with black iron spots</t>
  </si>
  <si>
    <t>patchy on exterior, dark red slip under glaze. Iron spots in glaze, rim only partially glazed</t>
  </si>
  <si>
    <t>one sherd is more mid-brown in colour, but glaze does vary. Glaze is dimpled and does not fully extend to lip of rim</t>
  </si>
  <si>
    <t>slightly thicker glaze in some places giving variation in glaze, thick on internal base. Brown streaks in glaze on exterior with an uneven edge around base. Pink slip under glaze, with evidence of a buff slip underneath this, slightly patchy on walls</t>
  </si>
  <si>
    <t>buff slip under glaze, uneven on exterior around base. Slightly thin and patchy around external edge of rim</t>
  </si>
  <si>
    <t>light buff slip on exterior and under glaze, darker patches on internal base</t>
  </si>
  <si>
    <t>light buff slip under glaze, thin on handle, especially on underside</t>
  </si>
  <si>
    <t>unslipped externally, internally light buff slip extended to lip of rim, light green patches in glaze</t>
  </si>
  <si>
    <t>buff pink slip on exterior, buff slip under glaze which extends to lip of rim. Patchy glaze internally, especially near rim</t>
  </si>
  <si>
    <t>pink slip on exterior, buff slip under glaze which extends over lip of vessel</t>
  </si>
  <si>
    <t>buff slip on exterior, white slip under light green-yellow glaze which is heavily abraded</t>
  </si>
  <si>
    <t>buff pink slip on exterior, buff slip under glaze which extends to lip of rim. Patchy glaze internally</t>
  </si>
  <si>
    <t>red slip on exterior, white slip under glaze extending to lip of rim. Glaze slight patchy towards and over rim</t>
  </si>
  <si>
    <t>red slip usually underlain with buff slip. Glaze is patchy internally and has darker patches where red slip is visible</t>
  </si>
  <si>
    <t>same as 1447</t>
  </si>
  <si>
    <t>pink red slip on exterior, off-white slip under glaze which extends o lip of rim and over top part of  handle. Glaze is thin and patchy towards rim</t>
  </si>
  <si>
    <t>buff slip covers whole vessel. Slight evidence of glaze externally with underside of base partially glazed.</t>
  </si>
  <si>
    <t>dirty grey brown slip on exterior, cream slip under glaze and extending over lip of rim.</t>
  </si>
  <si>
    <t>buff slip on exterior, white slip under glaze and extending to lip of rim, patchy glaze on rim</t>
  </si>
  <si>
    <t>buff slip on exterior, white slip under glaze. Glaze abraded</t>
  </si>
  <si>
    <t xml:space="preserve">buff pink slip on exterior, light buff slip under glaze extending to lip of rim. </t>
  </si>
  <si>
    <t>buff pink slip on exterior with red splashes, white slip under glaze</t>
  </si>
  <si>
    <t>buff slip on exterior, off-white slip under glaze extending to lip of vessel, heavily abraded</t>
  </si>
  <si>
    <t>buff slip on exterior, off-white slip under glaze extending to lip of vessel.</t>
  </si>
  <si>
    <t>buff pink slip on exterior, white slip under glaze extending to lip of vessel, heavily abraded</t>
  </si>
  <si>
    <t>buff slip covers handle, including under glaze. Glaze itself is very patchy, underside of handle unglazed.</t>
  </si>
  <si>
    <t>buff pink slip on exterior, cream slip under glaze extending to lip of vessel. Glaze very patchy on rim and has darker orange patches within it</t>
  </si>
  <si>
    <t>buff pink slip on exterior, white slip under glaze. Thin splashes of glaze on underside of rim, light orange patches in glaze</t>
  </si>
  <si>
    <t>buff pink slip on exterior, red slip over handle attachment, white slip under glaze</t>
  </si>
  <si>
    <t xml:space="preserve">buff pink slip on exterior, white slip under glaze. Slip is abraded on underside of base. </t>
  </si>
  <si>
    <t>buff slip on exterior and possibly under glaze, although heavily abraded</t>
  </si>
  <si>
    <t>buff orange slip on exterior, white slip under glaze. Glaze extends over lip of vessel. Patchy orange yellow and yellow glaze, thick on lip of rim</t>
  </si>
  <si>
    <t>buff slip on exterior and under glaze(?). Very thin with dark brown patch on rim</t>
  </si>
  <si>
    <t>buff slip under glaze, thin and patchy on exterior towards base. Iron spots in glaze which are concentrated towards base on exterior of vessel and underside of base</t>
  </si>
  <si>
    <t>white slip under glaze, orange patches in glaze. Glaze is thin in places</t>
  </si>
  <si>
    <t>cream slip under glaze, abraded in places showing red fabric underneath. Near base is unglazed with white slip dribbles and glaze dribbles over dribbles of black glaze. Black smudge in glaze near base</t>
  </si>
  <si>
    <t>buff slip over entire body, glaze is patchy on interior and on the tip of handle</t>
  </si>
  <si>
    <t>glaze is patchy on interior, large lump of glaze on exterior. Buff slip under glaze</t>
  </si>
  <si>
    <t>glaze is patchy on interior although rim is glazed, slightly patchy on lip rim. Buff slip under glaze</t>
  </si>
  <si>
    <t>very dark yellow glaze, almost brown</t>
  </si>
  <si>
    <t>scuffed on interior, slightly thin and patchy on exterior and unglazed underneath handle</t>
  </si>
  <si>
    <t>very dull glaze, occasional bubbling</t>
  </si>
  <si>
    <t>multiple small dimples in glaze</t>
  </si>
  <si>
    <t>very thick glaze on base, on exterior basal pedestal is unglazed</t>
  </si>
  <si>
    <t>metallic sheen on handle only</t>
  </si>
  <si>
    <t>slightly patchy towards lip of rim on interior</t>
  </si>
  <si>
    <t>less metallic and brown in colour on interior</t>
  </si>
  <si>
    <t>very matt glaze with chocolate brown mottles, basal pedestal largely unglazed</t>
  </si>
  <si>
    <t>slightly uneven edge around base on exterior.</t>
  </si>
  <si>
    <t>slightly thin and patchy over rim</t>
  </si>
  <si>
    <t>very matt glaze, only small patch glazed on interior</t>
  </si>
  <si>
    <t>glaze thicker, glossier and brown in colour on interior</t>
  </si>
  <si>
    <t>large areas unglazed towards base on exterior</t>
  </si>
  <si>
    <t>frequent chocolate brown mottles in glaze, uneven around base on exterior</t>
  </si>
  <si>
    <t>burnt and blistered and is therefore impossible to tell original glaze colour</t>
  </si>
  <si>
    <t>spots only on exterior</t>
  </si>
  <si>
    <t>thin glaze, more metallic where thinnest</t>
  </si>
  <si>
    <t>thin on exterior</t>
  </si>
  <si>
    <t>small fragments only remaining</t>
  </si>
  <si>
    <t>slightly patchy on around lip of rim, underneath handle and underside of handle largely unglazed</t>
  </si>
  <si>
    <t>very patchy on exterior and slightly patchy on interior</t>
  </si>
  <si>
    <t>dark red slip externally, cream slip under glaze extending over lip of rim</t>
  </si>
  <si>
    <t>on exterior, patch of glaze around base only. Pink slip on exterior, unslipped (?) on interior</t>
  </si>
  <si>
    <t>splash only on exterior, light pink slip under glaze and on exterior</t>
  </si>
  <si>
    <t>red slip on exterior, white slip under glaze extending over lip of rim. Glaze slightly patchy on rim</t>
  </si>
  <si>
    <t>black mottles in glaze, slightly patchy around base on exterior</t>
  </si>
  <si>
    <t>slightly patchy on handle attachment</t>
  </si>
  <si>
    <t>very metallic glaze with abundant large chocolate brown mottling- looks like a Cw style glaze rather than a Bw</t>
  </si>
  <si>
    <t>glossy glaze</t>
  </si>
  <si>
    <t>deep brown, glossy glaze. Uneven edge above base</t>
  </si>
  <si>
    <t>uneven edge around base, undersides of handle have metallic sheen instead of glaze in patches</t>
  </si>
  <si>
    <t>buff pink slip under glaze, slightly patchy in places and abraded</t>
  </si>
  <si>
    <t>light buff slip on interior, patchy glaze over this. Glaze is thicker over rim and extends to lip of rim and over red slip which extends over exterior. Glaze is very thick in places</t>
  </si>
  <si>
    <t>dirty buff pink slip on exterior, cream slip under glaze extending over lip of rim</t>
  </si>
  <si>
    <t>buff slip under glaze and on exterior, glaze patchy around rim and is heavily abraded</t>
  </si>
  <si>
    <t>buff slip on exterior and under glaze, iron spots on exterior and large patch on rim</t>
  </si>
  <si>
    <t>red slip on exterior, glaze unslipped</t>
  </si>
  <si>
    <t>dark red slip externally, cream slip under glaze extending over lip of rim. In places red slip under glaze creates small red patches, especially on rim</t>
  </si>
  <si>
    <t>probably slipped with buff slip, glaze extends to lip of rim</t>
  </si>
  <si>
    <t>buff pink slip on exterior, cream slip under glaze extending over lip of vessel</t>
  </si>
  <si>
    <t>buff slip on exterior, cream slip under glaze extending patchily over top of handle. Iron spots in glaze on interior</t>
  </si>
  <si>
    <t>dark red slip externally, white slip under glaze. Spots of red slip under glaze means one red spot on internal edge of rim, and line of red glaze on lip of rim</t>
  </si>
  <si>
    <t>red slip externally with occasional spots of glaze. Glaze extends up to lip of rim but not over it</t>
  </si>
  <si>
    <t>heavily abraded red slip externally, internally glaze is partial on rim and sides, red slip under glaze</t>
  </si>
  <si>
    <t>traces of red slip on interior, possibly as sheared from main body. Thin, matt glaze turning to light yellow in one patch on main body</t>
  </si>
  <si>
    <t>uneven edge around base on exterior, buff slip under glaze</t>
  </si>
  <si>
    <t>patchy on exterior towards base with large areas unglazed. Buff slip over vessel.</t>
  </si>
  <si>
    <t>extremely thin and patchy glaze which varies from dark green to dark yellow in colour</t>
  </si>
  <si>
    <t>slightly patchy towards rim on interior, on exterior glaze ends with a mostly regular edge 29mm above base</t>
  </si>
  <si>
    <t>cream slip under glaze, glaze extends partially under base on exterior</t>
  </si>
  <si>
    <t>patchy towards base of vessel with splashes of glaze</t>
  </si>
  <si>
    <t>patchy on underside of handles, yellow speckles in glaze</t>
  </si>
  <si>
    <t>very patchy on interior, slightly patchy on exterior near rim and on handles, underside of handles unglazed</t>
  </si>
  <si>
    <t>thin and patchy in places on interior and exterior, especially around rim and handles. Uneven edge on exterior above base</t>
  </si>
  <si>
    <t>on interior glaze is extremely patchy, glaze mainly on base and on upper walls near rim. Externally glaze is slightly flaky and ends just above base</t>
  </si>
  <si>
    <t>buff slip on exterior, light pink slip under glaze extending over lip of rim, occasional dribbles of glaze on exterior</t>
  </si>
  <si>
    <t>abraded over rim</t>
  </si>
  <si>
    <t>cream slip under small area of decoration</t>
  </si>
  <si>
    <t>dark buff slip on exterior, white slip under glaze and extending over exterior lip of rim. Glaze only extends over lip of rim on interior</t>
  </si>
  <si>
    <t>red slip on exterior including underside of base. Dimpled glaze on interior</t>
  </si>
  <si>
    <t>extremely patchy on interior and around base on exterior</t>
  </si>
  <si>
    <t>yellow flecks in glaze</t>
  </si>
  <si>
    <t>buff slip under glaze, uneven edge around base on exterior. Glaze patchy to non-existent on underside of handle</t>
  </si>
  <si>
    <t>red slip</t>
  </si>
  <si>
    <t>extremely patchy and thin, large areas unglazed</t>
  </si>
  <si>
    <t>uneven around base on exterior with large areas above base unglazed</t>
  </si>
  <si>
    <t>heavily sooted on exterior</t>
  </si>
  <si>
    <t>very light sooting on base</t>
  </si>
  <si>
    <t>slightly burnt</t>
  </si>
  <si>
    <t>slight sooting on base, but base has been heavily burnt and is extremely vitrified. This may have occurred either during or after disposal but localised burning suggests that sooting was probably incurred through use.</t>
  </si>
  <si>
    <t>light sooting on exterior</t>
  </si>
  <si>
    <t>light sooting on small portion of base, suggesting it was partially left over a fire, although sooting does not extend over rim suggesting minimal contact</t>
  </si>
  <si>
    <t>sooting on broken edges on top of sherd and around edges, as well as possible soot engrained in some ridges on base</t>
  </si>
  <si>
    <t>heavily burnt with blistered glaze</t>
  </si>
  <si>
    <t>heavily burnt, especially internally</t>
  </si>
  <si>
    <t>external burning</t>
  </si>
  <si>
    <t>light sooting on four sherds</t>
  </si>
  <si>
    <t>light sooting on and around base</t>
  </si>
  <si>
    <t>slight sooting on base and surrounding sherd breaks, suggesting sherd was burnt after use</t>
  </si>
  <si>
    <t>light sooting around base</t>
  </si>
  <si>
    <t>light sooting around lower edge of base.</t>
  </si>
  <si>
    <t>both sherds show slight evidence of sooting or exposure to heat</t>
  </si>
  <si>
    <t>light sooting in patches on base</t>
  </si>
  <si>
    <t>some light sooting on some sherds</t>
  </si>
  <si>
    <t>light sooting</t>
  </si>
  <si>
    <t>light sooting on body externally, slight sooting on rim</t>
  </si>
  <si>
    <t>moderate sooting around edge of rim</t>
  </si>
  <si>
    <t>one area of rim heavily sooted</t>
  </si>
  <si>
    <t>body sherd burnt, including on break. Slight sooting on rim</t>
  </si>
  <si>
    <t>slight sooting on exterior of vessel</t>
  </si>
  <si>
    <t>slight sooting on part of base and on vessel wall, including on sherd break</t>
  </si>
  <si>
    <t>slight sooting on part of exterior</t>
  </si>
  <si>
    <t>very light sooting on exterior</t>
  </si>
  <si>
    <t>underside of rim moderately sooted in places</t>
  </si>
  <si>
    <t>base partially sooted. Some sooting on rim in places, soot covers either side of break on two sherds suggesting done at time of breakage</t>
  </si>
  <si>
    <t>underside of handle lightly sooted</t>
  </si>
  <si>
    <t>sooting on one side of base and on breaks, suggesting exposed to heat after breakage</t>
  </si>
  <si>
    <t>two sherds are sooted on edge of break</t>
  </si>
  <si>
    <t>four joining sherds all badly burnt on inside with crazed glaze. Subjected to burning after breakage</t>
  </si>
  <si>
    <t>one heavily burnt</t>
  </si>
  <si>
    <t>deep gouge in base, base partially overfired</t>
  </si>
  <si>
    <t>pronounced mass of clay on base from throwing of vessel</t>
  </si>
  <si>
    <t>extensive sand deposit on base</t>
  </si>
  <si>
    <t>extensive sand deposits on interior of base</t>
  </si>
  <si>
    <t>one sherd has additional clay in a completely different fabric</t>
  </si>
  <si>
    <t>sand deposit on base</t>
  </si>
  <si>
    <t>thumbing on top of rim</t>
  </si>
  <si>
    <t>wide groove underneath rim</t>
  </si>
  <si>
    <t>bung hole perforated from exterior inwards, large contact mark above bung hole</t>
  </si>
  <si>
    <t>bung hole perforated from exterior inwards, white mortar deposits on internal surface</t>
  </si>
  <si>
    <t>heavy throwing grooves internally, sand around basal pedestal externally</t>
  </si>
  <si>
    <t>poorly finished base with sand deposits</t>
  </si>
  <si>
    <t>spalled base which is partially covered by glaze, suggesting this occurred pre-firing</t>
  </si>
  <si>
    <t>sand deposit around base on exterior</t>
  </si>
  <si>
    <t>mortar adhering to parts of vessel</t>
  </si>
  <si>
    <t>slight mortar deposits on exterior</t>
  </si>
  <si>
    <t>stacking mark on top of rim</t>
  </si>
  <si>
    <t>sherds have been subjected to burning, vitrified sand deposit on edge of base</t>
  </si>
  <si>
    <t>large black deposit on rim under glaze</t>
  </si>
  <si>
    <t>uneven edge, may even be a rim but looks like a crack in vessel filled with glaze. Demonstrates the use of defective vessels during this period</t>
  </si>
  <si>
    <t>unevenly thrown</t>
  </si>
  <si>
    <t>stacking mark on rim</t>
  </si>
  <si>
    <t>rilling on interior</t>
  </si>
  <si>
    <t>throwing grooves on interior</t>
  </si>
  <si>
    <t>prominent throwing grooves on interior</t>
  </si>
  <si>
    <t>slightly uneven and irregular base</t>
  </si>
  <si>
    <t>pronounced rilling on interior</t>
  </si>
  <si>
    <t>large sand deposit on base</t>
  </si>
  <si>
    <t>light sand deposits around edge of base</t>
  </si>
  <si>
    <t>see handle notes- flaw in manufacturing process</t>
  </si>
  <si>
    <t>slight sand deposit on basal pedestal, flattened blob of glaze near one of the handles</t>
  </si>
  <si>
    <t>slightly uneven base on underside</t>
  </si>
  <si>
    <t>narrow throwing rings on interior</t>
  </si>
  <si>
    <t>pronounced narrow throwing rings on interior</t>
  </si>
  <si>
    <t>finger prints around base, single sand deposit on exterior</t>
  </si>
  <si>
    <t>overfired base, reduced exterior. Interior has throwing rings evident</t>
  </si>
  <si>
    <t>bung hole inserted from interior to exterior</t>
  </si>
  <si>
    <t>glaze covers break of sherd, suggesting vessel flawed prior to use</t>
  </si>
  <si>
    <t>perforation on exterior, possibly not extending to interior, partially glazed</t>
  </si>
  <si>
    <t>glaze partially covers break of sherd in one place, suggesting piece was flawed before use</t>
  </si>
  <si>
    <t>squashed sides, not regular</t>
  </si>
  <si>
    <t>slightly pinched spout</t>
  </si>
  <si>
    <t>bung hole pushed from exterior to interior, 26mm in diameter</t>
  </si>
  <si>
    <t>bung hole 25mm in diameter. Overfired fabric, could be MP</t>
  </si>
  <si>
    <t>slight stacking mark on base</t>
  </si>
  <si>
    <t>extremely roughly made with uneven exterior</t>
  </si>
  <si>
    <t>prominent narrow throwing rings on interior</t>
  </si>
  <si>
    <t>base is heavily worn and may have spalled as base underside has broken away</t>
  </si>
  <si>
    <t>knife trimmed towards bottom of sherd</t>
  </si>
  <si>
    <t>slight sand deposits around base, large blob of glaze on base of interior</t>
  </si>
  <si>
    <t>overfired on interior with blistered glaze</t>
  </si>
  <si>
    <t>flaw near one of the handles which appears to have created a near, if not actual, perforation. As it has been covered with glaze, this fault occurred prior to firing but vessel still presumably used</t>
  </si>
  <si>
    <t>stacking mark on rim and slight stacking mark on base. Spigot hole 24mm in diameter</t>
  </si>
  <si>
    <t>very fine glaze</t>
  </si>
  <si>
    <t>internal throwing rings visible</t>
  </si>
  <si>
    <t>large lumps of sand adhering to base means that vessel does not stand upright and is slightly uneven</t>
  </si>
  <si>
    <t xml:space="preserve">slight sand deposits around base. One side of break worn completely smooth. </t>
  </si>
  <si>
    <t>slight sand deposit on base</t>
  </si>
  <si>
    <t>perforations made from interior to exterior</t>
  </si>
  <si>
    <t>possible slight stacking mark on rim</t>
  </si>
  <si>
    <t>light sand deposit on base</t>
  </si>
  <si>
    <t>leg stump has broken off</t>
  </si>
  <si>
    <t>heavy stacking marks on base with part of vessel still adhering to underside</t>
  </si>
  <si>
    <t>oval base, length is 47, width c.41mm</t>
  </si>
  <si>
    <t>knife trimmed around base</t>
  </si>
  <si>
    <t>very overfired</t>
  </si>
  <si>
    <t>large dent in side of vessel</t>
  </si>
  <si>
    <t>very poorly made base, uneven</t>
  </si>
  <si>
    <t>large stacking mark on base</t>
  </si>
  <si>
    <t>glaze complete covers end of handle, suggesting it may never have been complete</t>
  </si>
  <si>
    <t>slight sand deposit on basal pedestal</t>
  </si>
  <si>
    <t>slight sand deposits on edge of underside of base</t>
  </si>
  <si>
    <t>prominent throwing rings on interior</t>
  </si>
  <si>
    <t>frequent stacking marks on sides of vessel, including at least two on interior</t>
  </si>
  <si>
    <t>stacking mark on interior of rim</t>
  </si>
  <si>
    <t>uneven finish</t>
  </si>
  <si>
    <t>sand deposit on base in addition to slight stacking scar</t>
  </si>
  <si>
    <t>small sand deposits around base on exterior</t>
  </si>
  <si>
    <t>prominent rilling on interior</t>
  </si>
  <si>
    <t>thick glaze on base which is overfired, blistered and contains sand deposits</t>
  </si>
  <si>
    <t>deep slash on exterior of rim</t>
  </si>
  <si>
    <t>slight sand deposit around edge of base</t>
  </si>
  <si>
    <t>uneven rim</t>
  </si>
  <si>
    <t>handle attachments overlap in places</t>
  </si>
  <si>
    <t>slight sand deposits around base</t>
  </si>
  <si>
    <t>unevenly thrown rim</t>
  </si>
  <si>
    <t>regular knife trimming giving slight polygonal edges to piece</t>
  </si>
  <si>
    <t>slightly crudely made handle which has sheared completely from body</t>
  </si>
  <si>
    <t>slightly uneven form</t>
  </si>
  <si>
    <t>slight sand deposits on base</t>
  </si>
  <si>
    <t>pulled spout. Prominent throwing grooves on interior. Rim slants towards spout</t>
  </si>
  <si>
    <t>stacking mark on rim and base</t>
  </si>
  <si>
    <t>pulled spout</t>
  </si>
  <si>
    <t>two parallel horizontal ridges</t>
  </si>
  <si>
    <t>raised ridge</t>
  </si>
  <si>
    <t>slight evidence of applied clay dots in vertical line</t>
  </si>
  <si>
    <t>slightly raised horizontal ridge</t>
  </si>
  <si>
    <t>slight horizontal groove</t>
  </si>
  <si>
    <t>two parallel horizontal ridges below rim</t>
  </si>
  <si>
    <t>applied red clay horizontal band. Above this vessel appears to have been shaped into a polygonal shape</t>
  </si>
  <si>
    <t>slight ridge below rim</t>
  </si>
  <si>
    <t>two raised horizontal ridges with tiny dots partially impressed above these (dots may be accidental)</t>
  </si>
  <si>
    <t>two raised horizontal ridges</t>
  </si>
  <si>
    <t>one sherd with a slight ridge</t>
  </si>
  <si>
    <t>slight groove below handle</t>
  </si>
  <si>
    <t>two parallel grooves below rim</t>
  </si>
  <si>
    <t>overlapping thumb decoration directly below rim</t>
  </si>
  <si>
    <t>slight raised ridge below rim</t>
  </si>
  <si>
    <t>thumb mark fragment, possibly associated with handle attachment but no definitive evidence</t>
  </si>
  <si>
    <t>impressed thumb mark on rim above handle</t>
  </si>
  <si>
    <t>two very slightly raised horizontal ridges</t>
  </si>
  <si>
    <t>two parallel raised ridges</t>
  </si>
  <si>
    <t>horizontal ridge</t>
  </si>
  <si>
    <t>heptagonal basal pedestal in cross-section with flattened knop? between pedestal and bowl.</t>
  </si>
  <si>
    <t>hexagonal pedestal in cross-section</t>
  </si>
  <si>
    <t>pronounced throwing rings on top of vessel</t>
  </si>
  <si>
    <t>two raised ridges below rim</t>
  </si>
  <si>
    <t>two parallel raised ridges below rim</t>
  </si>
  <si>
    <t>applied yellow clay decoration, fragment only remaining</t>
  </si>
  <si>
    <t>two parallel corrugations level with handle</t>
  </si>
  <si>
    <t>applied large yellow dots in white clay</t>
  </si>
  <si>
    <t>slight parallel corrugations on upper portion of vessel</t>
  </si>
  <si>
    <t>raised ridge above handle</t>
  </si>
  <si>
    <t>slight parallel corrugations below rim</t>
  </si>
  <si>
    <t>raised ridge below upper handle attachment</t>
  </si>
  <si>
    <t>three raised parallel ridges below rim</t>
  </si>
  <si>
    <t>thumbing along top of rim</t>
  </si>
  <si>
    <t>applied white slip creating patterns of dots, line and an abstract design of which only a fragment remains</t>
  </si>
  <si>
    <t>piped vertical lines with horizontal line at base (Wrenthorpe design)</t>
  </si>
  <si>
    <t>two parallel ridges</t>
  </si>
  <si>
    <t>thumb mark on rim either side of handle</t>
  </si>
  <si>
    <t>thumb impressions on rim either side of handles, suggesting that there are three handles as there are three thumb impressions</t>
  </si>
  <si>
    <t>raised ridge immediately below rim</t>
  </si>
  <si>
    <t>raised ridge along line of handle stump</t>
  </si>
  <si>
    <t>applied white clay decoration of vertical parallel lines ending in circles</t>
  </si>
  <si>
    <t>one sherd has two parallel ridges immediately above handle</t>
  </si>
  <si>
    <t>raised ridge between upper handle stump and rim</t>
  </si>
  <si>
    <t>raised ridge above upper handle attachment</t>
  </si>
  <si>
    <t>ridge below rim and running in between upper and lower handle attachments</t>
  </si>
  <si>
    <t>ridge below rim, interrupted by handle</t>
  </si>
  <si>
    <t>two impressed finger marks, may be from a handle attachment</t>
  </si>
  <si>
    <t>slight ridge on shoulder of vessel</t>
  </si>
  <si>
    <t>raised ridge on shoulder of vessel</t>
  </si>
  <si>
    <t>thumb impression on rim to left of handle.</t>
  </si>
  <si>
    <t>horizontal line applied in white clay, fired yellow</t>
  </si>
  <si>
    <t>raised ridge above lower handle attachment</t>
  </si>
  <si>
    <t>slight raised ridges below rim</t>
  </si>
  <si>
    <t>raised ridge below rim, interrupted by upper handle attachment</t>
  </si>
  <si>
    <t>raised ridge between rim and shoulder of vessel</t>
  </si>
  <si>
    <t>two ridges directly below rim</t>
  </si>
  <si>
    <t>two applied rosettes of white clay either side of handle (Moorhouse and Slowikowski 1992, table 9, type 13 but central motif wider), opposite handle large blob of applied white clay may indicate another handle</t>
  </si>
  <si>
    <t>two slight corrugations below rim.</t>
  </si>
  <si>
    <t>applied pressed circle of clay, similar to that used in handle attachments but no handle scar</t>
  </si>
  <si>
    <t>two slight ridges between rim and shoulder</t>
  </si>
  <si>
    <t>slight pie crust rim- see Moorhouse and Slowikowski 1992 fig 59.160.</t>
  </si>
  <si>
    <t>slight raised ridge on shoulder of vessel</t>
  </si>
  <si>
    <t>two slight ridges below rim</t>
  </si>
  <si>
    <t>ridge at top of basal pedestal and above basal pedestal</t>
  </si>
  <si>
    <t>groove and raised ridge below rim</t>
  </si>
  <si>
    <t>raised ridge perpendicular to upper handle attachment</t>
  </si>
  <si>
    <t>raised ridges around base and between upper handle attachments and rim</t>
  </si>
  <si>
    <t>raised ridge below rim and above lower handle attachment</t>
  </si>
  <si>
    <t>yellow slip decoration of wavy lines on rim and abstract design on internal wall</t>
  </si>
  <si>
    <t>yellow slip decoration of wavy lines on rim</t>
  </si>
  <si>
    <t>groove above base</t>
  </si>
  <si>
    <t>three horizontal ridges on upper half of vessel</t>
  </si>
  <si>
    <t>horizontal ridges in two bands separated with area with vertical scored lines</t>
  </si>
  <si>
    <t>thumbed rim, single indentation halfway between two handles</t>
  </si>
  <si>
    <t>horizontal ridges below rim and above base</t>
  </si>
  <si>
    <t>wavy decoration round main body of vessel in red slip</t>
  </si>
  <si>
    <t>groove above basal pedestal</t>
  </si>
  <si>
    <t>applied clay roundels on main body stamped with rouletted decoration (Moorhouse and Slowikowski 1992, Table 9 Element 13) but central detail fills almost entire stamp</t>
  </si>
  <si>
    <t>double ridge below rim</t>
  </si>
  <si>
    <t>slight double ridge below rim</t>
  </si>
  <si>
    <t xml:space="preserve"> illustrated as Brears 1983 Fig95.81. From BD1, not C as noted in report. Classic Bw form, but in a supposedly pre-CW context</t>
  </si>
  <si>
    <t>Same style as SAND2, although base uneven and not as well finished</t>
  </si>
  <si>
    <t xml:space="preserve">Same style as SAND1 but with fewer handles. </t>
  </si>
  <si>
    <t>simple lid with knob on top, no parallel with Wrenthorpe material</t>
  </si>
  <si>
    <t>identified on basis of complete lack of glaze on interior</t>
  </si>
  <si>
    <t>similar to SAND5</t>
  </si>
  <si>
    <t>possibly a type 4 cup.</t>
  </si>
  <si>
    <t>unusual dark green glaze and soft orange fabric suggests is non-local</t>
  </si>
  <si>
    <t>closed form such as a medium sized fine jar as opposed to a drinking vessel.</t>
  </si>
  <si>
    <t>unmarked other than 1976/21, but in same bag as material with BD</t>
  </si>
  <si>
    <t>marked SC73 R1, but in bag with BD+</t>
  </si>
  <si>
    <t>also in bag a handle sherd of same fabric but which is unmarked other than 1976/21</t>
  </si>
  <si>
    <t>very soft fabric</t>
  </si>
  <si>
    <t>in same bag as SAND 135 but don't join so treated separately.</t>
  </si>
  <si>
    <t>buff fabric with frequent sub-rounded pink grit up to 1.5mm diameter and occasional rounded black grit and crystalline quartz up to 0.7mm diameter. Feels like it is probably an early Yw (in fact would probably put fabric down as Hillam(?) if not for glaze). Early post-med Yw?</t>
  </si>
  <si>
    <t>purple mottled ware, probably from London, see examples at Pontefract</t>
  </si>
  <si>
    <t>very dense dark red fabric with moderate crystalline quartz and rare white inclusions up to 0.5mm diameter</t>
  </si>
  <si>
    <t>form is a Bw rather than Cw (see Wren Fig62.211 for a parallel) but fabric and glaze is suggestive of this being a transitional Cw/Bw form</t>
  </si>
  <si>
    <t xml:space="preserve">see Moorhouse and Slowikowski 1992 62.213 for a parallel. </t>
  </si>
  <si>
    <t>very fine, well fired and homogenous fabric with rare rounded white and black inclusions up to 0.5mm</t>
  </si>
  <si>
    <t>fabric is a soft pink with frequent white clay and occasional red clay banding and inclusions from poor mixing, with few other visible inclusions</t>
  </si>
  <si>
    <t>thin lid?</t>
  </si>
  <si>
    <t>rim and base of a bowl. Two halves do not refit, but sufficient similarities to suggest that they are the same vessel</t>
  </si>
  <si>
    <t>fabric similar to BGCw2 but no platy inclusions</t>
  </si>
  <si>
    <t>possibly a type 4 cup</t>
  </si>
  <si>
    <t>fabric is an overfired BGCw13, so could in some instances be classed as MP, but very fine</t>
  </si>
  <si>
    <t>base abraded heavily</t>
  </si>
  <si>
    <t>possibly a handled jar although this could also be a jug</t>
  </si>
  <si>
    <t>see SAND 339 for notes on fabric.</t>
  </si>
  <si>
    <t>fabric is a sandy and light salmon pink in colour with rare rounded white and red inclusions up to 0.5mm diameter</t>
  </si>
  <si>
    <t>see SAND 445 for fabric notes</t>
  </si>
  <si>
    <t>see SAND2 for similar vessel</t>
  </si>
  <si>
    <t>no real parallel at Wrenthorpe</t>
  </si>
  <si>
    <t>identified on basis of lack of glaze on interior. White mortar deposits on two sherds and across some of breaks</t>
  </si>
  <si>
    <t>no glaze and pronounced rilling on interior</t>
  </si>
  <si>
    <t>moderately flat and broad basal pedestal, vessel itself is quite small</t>
  </si>
  <si>
    <t>fabric similar to 1, but softer and buff in colour.</t>
  </si>
  <si>
    <t>base of a jug or medium sized fine jar</t>
  </si>
  <si>
    <t>fabric is like 11 but buff rather than salmon pink in colour</t>
  </si>
  <si>
    <t>unusual handle</t>
  </si>
  <si>
    <t>halves don't join but they have same glaze and fabric suggesting they are the same vessel.</t>
  </si>
  <si>
    <t>type 4 drinking vessel</t>
  </si>
  <si>
    <t>soft fabric with few inclusions but occasional pink clay lines</t>
  </si>
  <si>
    <t>quite abraded</t>
  </si>
  <si>
    <t>crudely made and unglazed</t>
  </si>
  <si>
    <t>see Moorhouse and Slowikowski 1992, 61.192 for a similar example</t>
  </si>
  <si>
    <t>style suggests later rather than earlier, may even be early Bw along lines of Moorhouse and Slowikowski 1992 Fig61.194</t>
  </si>
  <si>
    <t>as with 647 and 648 feels early rather than Cw period, although may be more contemporary</t>
  </si>
  <si>
    <t>residual fabrics in T1. four SYGB, three SYGA</t>
  </si>
  <si>
    <t>Halves do not join, but given extremely distinctive glaze almost certain they are the same vessel, and unglazed patches do line up. Unusual glaze</t>
  </si>
  <si>
    <t>multi-handled drinking vessel of moderate size. Two sherds don't join many body but sufficient similarities to suggest they are from the same vessel</t>
  </si>
  <si>
    <t>two halves don't join but sufficient similarities to suggest they are from the same vessel</t>
  </si>
  <si>
    <t>probably from a jug or handle jar due to size</t>
  </si>
  <si>
    <t>ridge pattern and glaze so similar on unjoined sherds that almost certainly the same vessel</t>
  </si>
  <si>
    <t xml:space="preserve"> heavily abraded due to softness of fabric. Fabric has thick rather than fine banding, otherwise fits description. Glaze is very uneven and variable in colour, particularly on exterior</t>
  </si>
  <si>
    <t>early Yw drinking vessel in Cw form (would be deemed to be reversed Cw in some publications). Fabric similar to Yw1 but less well fired</t>
  </si>
  <si>
    <t>various medieval vessels, nine different fabrics, mainly late medieval. Two handles, six bases. Includes Hw- Cwk</t>
  </si>
  <si>
    <t>medieval residual fabrics, four fabrics ID'd including Ogw and Pimply(?), mainly late med</t>
  </si>
  <si>
    <t>defined as a bottle in Moorhouse and Slowikowski 1992, 63.235 as a rare form</t>
  </si>
  <si>
    <t xml:space="preserve">unusually small handle more reminiscent of Cw forms than Bw. </t>
  </si>
  <si>
    <t xml:space="preserve"> fragment of basal pedestal present</t>
  </si>
  <si>
    <t>medieval residual fabrics. Five fabrics including OGw and SYGB, mainly late med in date</t>
  </si>
  <si>
    <t>bag is marked F1, but base is marked MP, so assume that this is correct</t>
  </si>
  <si>
    <t>upright (Late Cw/Bw) form, but Wrenthorpe handle. Identical to SAND810</t>
  </si>
  <si>
    <t>upright (Late Cw/Bw) form, but Wrenthorpe handle. Identical to SAND 809</t>
  </si>
  <si>
    <t>fine fabric and glaze suggestive of Bw vessel, but pedestal and slightly globular form leaves a slight possibility that the vessel is Cw</t>
  </si>
  <si>
    <t>void</t>
  </si>
  <si>
    <t>Bw2 fabric, but Rw type appearance and glaze</t>
  </si>
  <si>
    <t>white mortar-like deposit on interior of sherd</t>
  </si>
  <si>
    <t>remnants of glue suggests another sherd elsewhere</t>
  </si>
  <si>
    <t>white mortar-like deposit on underside of handle</t>
  </si>
  <si>
    <t>marked 113</t>
  </si>
  <si>
    <t>moderately large small storage vessel. Rim and lower body do not join but sufficient similarities to suggest are the same vessel</t>
  </si>
  <si>
    <t>probably not from a drinking vessel but from a larger vessel</t>
  </si>
  <si>
    <t>residual med. fabrics, include one SYGA and one late med fabric, possibly the same</t>
  </si>
  <si>
    <t>fabric similar to BGCw 12 but no cindery inclusions and is also softer</t>
  </si>
  <si>
    <t xml:space="preserve">not a cup but possibly a medium sized handled jar or bowl. </t>
  </si>
  <si>
    <t>classified as same vessel due to similarities in glaze. Bung hole present</t>
  </si>
  <si>
    <t>slipware decoration. Fabric too dirty to get a proper ID</t>
  </si>
  <si>
    <t>more heavy duty than other examples from this area</t>
  </si>
  <si>
    <t>probably residual</t>
  </si>
  <si>
    <t xml:space="preserve"> has a perforation on exterior which has been partially glazed and a possible handle scar which is a little odd. If was handled, handle sprang from rim</t>
  </si>
  <si>
    <t>two different fabrics</t>
  </si>
  <si>
    <t>three different late med fabrics, including SYGA and Hw-Cwk</t>
  </si>
  <si>
    <t>three different fabrics</t>
  </si>
  <si>
    <t>late med, includes SYGA (four sherds) Hw (one sherd) and two others</t>
  </si>
  <si>
    <t>med fabrics, includes SYGB (two sherds)</t>
  </si>
  <si>
    <t xml:space="preserve">probably from a jug </t>
  </si>
  <si>
    <t>small globular vessel similar to type 4 vessel but only single handle and good glaze and fabric. Marked with "113" in places. Not a Wrenthorpe product</t>
  </si>
  <si>
    <t>marked with "102"</t>
  </si>
  <si>
    <t>sherd marked 113</t>
  </si>
  <si>
    <t>handles, quite chunky so possibly from moderately large drinking vessels</t>
  </si>
  <si>
    <t>quite large so possibly from a handled jar</t>
  </si>
  <si>
    <t>"102" marked in places</t>
  </si>
  <si>
    <t>includes spigot hole</t>
  </si>
  <si>
    <t>Could be MP or a very overfired BGCw 13</t>
  </si>
  <si>
    <t>moderately sized small storage vessel</t>
  </si>
  <si>
    <t>as glazed on interior and exterior and has basal pedestal extremely likely that this is a jar rather than a bowl/pancheon. Same range of inclusions as Yw1 but not as well fired and as a result softer. 102 painted on some sherds</t>
  </si>
  <si>
    <t>halves don't join but there is have same glaze and fabric suggesting they are the same vessel. Early-ish form (such as Moorhouse and Slowikowski 1992 65.277). 113 painted on some sherds</t>
  </si>
  <si>
    <t>glazed on interior and exterior and has basal pedestal extremely likely that this is a jar rather than a bowl/pancheon.  102 painted on sherds. sooting pattern has a distinct shape and concentrated in one area of base</t>
  </si>
  <si>
    <t>very abraded and may belong to 1019</t>
  </si>
  <si>
    <t>med residual fabrics including SYGA (three sherds) and Ogw</t>
  </si>
  <si>
    <t>probably same vessel as 1012, but from different layer</t>
  </si>
  <si>
    <t>base is abraded and appears to have spalled</t>
  </si>
  <si>
    <t>fabric similar to Yw 5 but no elongated voids</t>
  </si>
  <si>
    <t xml:space="preserve"> very soft fabric which makes joining sherds tricky. Included in unmarked is one sherd from M2, and one from R2 (all excavated 1966) as M and R do not make sense as excavated in later years. One also from C1, courtyard but does not join, as a result can't use this in cross-joining diagrams</t>
  </si>
  <si>
    <t>various medieval vessels, five different fabrics including SYGA and Hw</t>
  </si>
  <si>
    <t>fabric is a hard buff pink with fine white clay striations and moderate subangular rounded and elongated white rock inclusions up to 1mm diameter as well as rare rounded red clay inclusions up to 0.7mm diameter</t>
  </si>
  <si>
    <t>have assumed that is a multiple handled vessel on basis of similarity of glaze, but have 2 upper and 1 lower handle stumps, none of which join so this is supposition only</t>
  </si>
  <si>
    <t>113 painted on some sherds</t>
  </si>
  <si>
    <t>medieval vessels, ten different fabrics including SYGA, Ogw and Hw</t>
  </si>
  <si>
    <t>upper sherds do not join to lower but sufficient similarities to suggest this is the same vessel. K sherds all join J sherds</t>
  </si>
  <si>
    <t>may be more joining sherds, but due to extremely fragmented state is difficult to rejoin sherds, despite glaze, fabric and form suggesting this is the same vessel. Rim and base do not join</t>
  </si>
  <si>
    <t xml:space="preserve"> probably from a large handled storage vessel. Originally with 1085, but glaze suggests is a different vessel</t>
  </si>
  <si>
    <t>less quartz than is normally seen in BGCw 6, but similar structure</t>
  </si>
  <si>
    <t>medieval sherd, possibly Ogw but too dirty to be sure</t>
  </si>
  <si>
    <t>medieval sherds, late med in date</t>
  </si>
  <si>
    <t>med sherd, possibly Hw</t>
  </si>
  <si>
    <t xml:space="preserve">medieval sherds, four fabrics including SYGA and Ogw. </t>
  </si>
  <si>
    <t>Cw type 1 or 4 drinking vessel</t>
  </si>
  <si>
    <t>113 marked on sherd</t>
  </si>
  <si>
    <t>113 marked on sherds</t>
  </si>
  <si>
    <t>marked with 114</t>
  </si>
  <si>
    <t>113 marked on some sherds</t>
  </si>
  <si>
    <t>114 marked on some sherds</t>
  </si>
  <si>
    <t>medieval sherds. Six fabrics including Humberware, SYGB and SYGA</t>
  </si>
  <si>
    <t>medieval sherds, six fabrics including Hw-Cwk, Hw-sandy, Ogw and SYGB</t>
  </si>
  <si>
    <t>medieval sherds, six different fabrics including Ogw and Hw</t>
  </si>
  <si>
    <t>114 marked on sherd</t>
  </si>
  <si>
    <t>rim and body sherd from a drinking vessel. 113 marked on sherds</t>
  </si>
  <si>
    <t>similar to Brears 1983 95.81 but with fewer handles</t>
  </si>
  <si>
    <t>one sherd marked 113</t>
  </si>
  <si>
    <t>several sherds marked 113</t>
  </si>
  <si>
    <t>fabric very fine like Bw with only rare inclusions, but light buff pink in colour</t>
  </si>
  <si>
    <t>113 on base</t>
  </si>
  <si>
    <t>113 marked on one sherd</t>
  </si>
  <si>
    <t>sherd marked 114</t>
  </si>
  <si>
    <t>113 written on one sherd</t>
  </si>
  <si>
    <t>sherd marked with 113</t>
  </si>
  <si>
    <t>sherd marked 115</t>
  </si>
  <si>
    <t>marked with 113</t>
  </si>
  <si>
    <t>four have 113 painted on them</t>
  </si>
  <si>
    <t>two have 113 painted on them</t>
  </si>
  <si>
    <t>marked with 115</t>
  </si>
  <si>
    <t>113 painted on sherd</t>
  </si>
  <si>
    <t>Handles, probably from drinking vessels. Four marked with 113</t>
  </si>
  <si>
    <t>handles, probably from drinking vessels. Both marked with 113</t>
  </si>
  <si>
    <t>handles, probably from drinking vessels. Three marked with 113</t>
  </si>
  <si>
    <t xml:space="preserve"> 102 marked on sherd</t>
  </si>
  <si>
    <t>sherds marked 113</t>
  </si>
  <si>
    <t>fabric is similar to Yw3 but buff pink, not white</t>
  </si>
  <si>
    <t>one complete and two partial perforations visible</t>
  </si>
  <si>
    <t>medieval body sherd. Residual</t>
  </si>
  <si>
    <t>unusual glaze, in same tradition as Late Humberware vessels but different fabric. 113 on many of the sherds</t>
  </si>
  <si>
    <t>Cw decorated body sherd</t>
  </si>
  <si>
    <t>residual medieval sherd</t>
  </si>
  <si>
    <t>102 written on sherds</t>
  </si>
  <si>
    <t>residual medieval sherds, one late med/early post-med, the other earlier.  One marked 102</t>
  </si>
  <si>
    <t>marked with 118</t>
  </si>
  <si>
    <t>same fabric as Bw3, but thicker walls</t>
  </si>
  <si>
    <t>sherd marked with 113.</t>
  </si>
  <si>
    <t>115 marked on sherd</t>
  </si>
  <si>
    <t>both sherds marked 102</t>
  </si>
  <si>
    <t>handles, probably from drinking vessels. One marked 113</t>
  </si>
  <si>
    <t>marked with 117</t>
  </si>
  <si>
    <t>residual SYGB green glazed sherd</t>
  </si>
  <si>
    <t>base of an moderate Bw vessel, similar to Brears 1983 95.82 although little of walls surviving. 102 painted on all sherds</t>
  </si>
  <si>
    <t>marked with 116</t>
  </si>
  <si>
    <t>113 marked on one sherd.</t>
  </si>
  <si>
    <t>glue on 2 sides indicative of other joining sherds. 113 marked on sherd.</t>
  </si>
  <si>
    <t>sherd is marked 113</t>
  </si>
  <si>
    <t>marked with 102</t>
  </si>
  <si>
    <t>sherd marked 102</t>
  </si>
  <si>
    <t>probably same vessel as 1292 and1293, but sherds do not join. Sherd marked with 102</t>
  </si>
  <si>
    <t>several sherds marked with 102</t>
  </si>
  <si>
    <t>sherd marked with 102.</t>
  </si>
  <si>
    <t xml:space="preserve">sherds marked with 102. </t>
  </si>
  <si>
    <t>Four sherds marked with 102, one with 113</t>
  </si>
  <si>
    <t>marked 102</t>
  </si>
  <si>
    <t>113 marked on sherd. Other sherd in bag (UBS, Bw2) ignored as effectively unstratified as H3 not excavated in 1964</t>
  </si>
  <si>
    <t>handle almost certainly with this vessel, although doesn't actually attach</t>
  </si>
  <si>
    <t>base has a globular form but could be a Bw or Cw vessel</t>
  </si>
  <si>
    <t>base of a moderate sized drinking vessel. Upright vessel, could be an early Bw form</t>
  </si>
  <si>
    <t>four different fabrics</t>
  </si>
  <si>
    <t>various residual medieval vessels, mainly late med. Includes Hw, SYGA, OGw and SYGB</t>
  </si>
  <si>
    <t>fine rod handle could indicate a jug rather than a heavy duty vessel as walls are moderately fine</t>
  </si>
  <si>
    <t>residual medieval fabrics. Includes Hw-Cwk and Hw (fourteen sherds) as well as one sherd which is SYGA</t>
  </si>
  <si>
    <t xml:space="preserve"> identified on basis of form and prominent internal throwing rings</t>
  </si>
  <si>
    <t>flared drinking vessel</t>
  </si>
  <si>
    <t>various residual medieval vessels, 14thC onwards. Includes Hw, Ogw, SYGA</t>
  </si>
  <si>
    <t>various residual medieval vessels, 14thC onwards. Includes Hw-Cwk, SYGB, SYGA</t>
  </si>
  <si>
    <t>sherd marked 307</t>
  </si>
  <si>
    <t>307 marked on one sherd</t>
  </si>
  <si>
    <t>30 painted on sherd</t>
  </si>
  <si>
    <t>marked with 307</t>
  </si>
  <si>
    <t>sherd marked with 186 (MN2) and 307 (MN1)</t>
  </si>
  <si>
    <t>sherd marked with 307</t>
  </si>
  <si>
    <t>sherd marked 186</t>
  </si>
  <si>
    <t>sherd marked 187</t>
  </si>
  <si>
    <t>186 marked on sherd</t>
  </si>
  <si>
    <t>lower profile of a costrel. Sherds marked 142 (MF2) and 184 (MF3)</t>
  </si>
  <si>
    <t>Marked 142</t>
  </si>
  <si>
    <t>marked 142</t>
  </si>
  <si>
    <t>sherd marked 142</t>
  </si>
  <si>
    <t>marked with 120</t>
  </si>
  <si>
    <t>marked with 119</t>
  </si>
  <si>
    <t>rolled SYGA handle. Residual</t>
  </si>
  <si>
    <t>sherds marked 184 and 191</t>
  </si>
  <si>
    <t>marked with 169</t>
  </si>
  <si>
    <t>sherd marked 184</t>
  </si>
  <si>
    <t>residual late med fabrics, one Hw. Both marked 184</t>
  </si>
  <si>
    <t>may be 16th rather than 17th in date as a very rounded form, but certainly is not the 1484/5 date to which it was originally assigned</t>
  </si>
  <si>
    <t>could be same vessel as 1432-1433, but sherds do not join</t>
  </si>
  <si>
    <t>could be same vessel as 1431 and 1433 but sherds do not join</t>
  </si>
  <si>
    <t>in same bag as SAND 1431-3, but does not join and is a separate context</t>
  </si>
  <si>
    <t>very steep sides</t>
  </si>
  <si>
    <t>fabric is Yw rather than early Yw</t>
  </si>
  <si>
    <t>sherds do not join but extremely similar, so probably the same vessel</t>
  </si>
  <si>
    <t>masking tape suggests the presence of another sherd which joins this one</t>
  </si>
  <si>
    <t>possibly another handled pancheon</t>
  </si>
  <si>
    <t>given BDR presence, may be earlier than 17thC, as suggested by external glaze</t>
  </si>
  <si>
    <t>in the "reversed Cistercian ware" tradition and therefore 16thC</t>
  </si>
  <si>
    <t>post-17thC blackware, 18thC or later in date. Demonstrates this area disturbed after Civil War</t>
  </si>
  <si>
    <t>hard, fine red fabric with fine white clay striations, occasional white and black rounded inclusions up to 0.5mm diameter and rare black platy shale inclusions</t>
  </si>
  <si>
    <t>various medieval fabrics, mainly Humberwares (eleven sherds)</t>
  </si>
  <si>
    <t>late Cw/Bw form with Wrenthorpe handles. Cw style fabric and glaze as well (e.g. purple fabric and poor glaze)</t>
  </si>
  <si>
    <t>post-17thC BGCw, possibly 18thC or later. Certainly post-dates Civil Wars</t>
  </si>
  <si>
    <t>fabric is a hard, very fine pink red with white clay swirls and very rare iron ore inclusions up to 1.5 mm in diameter but more usually 0.5mm in diameter</t>
  </si>
  <si>
    <t>residual med fabrics, all late. Includes some Humberware and one sherd of SYGB</t>
  </si>
  <si>
    <t>residual med fabrics, all Humberware</t>
  </si>
  <si>
    <t>residual Humberware rim</t>
  </si>
  <si>
    <t>residual Humberware body sherd</t>
  </si>
  <si>
    <t>residual. Fabrics include reduced Humberware and one sherd of SYGB</t>
  </si>
  <si>
    <t>illustrated as Brears 1983, 95.73. Marked 113</t>
  </si>
  <si>
    <t>illustrated in  Brears 1983, 95.74</t>
  </si>
  <si>
    <t>On display at Wakefield museum- minimum data recorded. Illustrated as Brears1983, 95.75</t>
  </si>
  <si>
    <t>large and unusual drinking vessel with multiple handles- see Moorhouse and Slowikowski 1992 61.201 for vessel of similar size but this vessel is extremely chaotic. Illustrated as Brears 1983, 95.76</t>
  </si>
  <si>
    <t>large and extremely unusual drinking vessel with multiple handles. Illustrated as Brears 1983, 95.77 but handles not right. Unusual glaze and style, feels early Bw and may be another transition piece</t>
  </si>
  <si>
    <t>placeholder for Brears 1983, 95.78 as missing from box</t>
  </si>
  <si>
    <t>illustrated as Brears 1983, 95.80</t>
  </si>
  <si>
    <t>illustrated in Brears 1983, Fig.95.82. Note on base states "three-handled tyg made at Potovens found near workshop mid 17th Cent." Quite globular, in which case more Cw than Bw- another transition piece? Top does not join bottom, but probably same vessel</t>
  </si>
  <si>
    <t>unusual to have this type of vessel in Yw. Sherds do not join but quite similar so assumed same vessel. Illustrated in Brears 1983, 96.92</t>
  </si>
  <si>
    <t>illustrated as Brears 1983, 96.93</t>
  </si>
  <si>
    <t>illustrated as Brears 1983, 96.94</t>
  </si>
  <si>
    <t>illustrated as Brears 1983 96. 99</t>
  </si>
  <si>
    <t>illustrated in Brears 1983, 96.100</t>
  </si>
  <si>
    <t>illustrated in Brears 1983, 96.101</t>
  </si>
  <si>
    <t>illustrated as Brears 1983 96.102</t>
  </si>
  <si>
    <t>illustrated as Brears 1983, 97.103. On display at Wakefield museum, minimal data recorded</t>
  </si>
  <si>
    <t xml:space="preserve">illustrated in Brears 1983, 96.104. </t>
  </si>
  <si>
    <t xml:space="preserve"> illustrated as Brears 1983, 96.105 but as little of rest of vessel does not justify an illustration.</t>
  </si>
  <si>
    <t>illustrated in Brears 1983, 97.106</t>
  </si>
  <si>
    <t>illustrated in Brears 1983, 97.107</t>
  </si>
  <si>
    <t>listed by Brears 1983, 97.108, unillustrated</t>
  </si>
  <si>
    <t>illustrated as Brears 1983, 97.109</t>
  </si>
  <si>
    <t>illustrated as Brears 1983, 97.111. On display at Wakefield museum, minimal data recorded</t>
  </si>
  <si>
    <t>illustrated as Brears 1983, 97.112. Largely reconstructed</t>
  </si>
  <si>
    <t>illustrated as Brears 1983, 95.113. On display at Sandal castle, minimal data recorded</t>
  </si>
  <si>
    <t>illustrated as Brears 1983, 97.114</t>
  </si>
  <si>
    <t>illustrated as Brears 1983,  97.116 (115 unillustrated and missing)</t>
  </si>
  <si>
    <t>illustrated as Brears 1983, 97.117. On display at Wakefield museum, minimal data recorded</t>
  </si>
  <si>
    <t>illustrated as Brears 1983, 97.118. On display at Wakefield museum, minimal data recorded.</t>
  </si>
  <si>
    <t>placeholder for Brears 97.119, missing</t>
  </si>
  <si>
    <t>note in bag "Buildings A and B (forget workshop"). In places more plaster of Paris than vessel as poorly reconstructed. Illustrated as Brears 1983, 97.120</t>
  </si>
  <si>
    <t>slight question mark over origin, probably from motte however given excavated in 1967. Well preserved storage jar, illustrated in Brears 1983, 96.87</t>
  </si>
  <si>
    <t>Illustrated, without spout, in Brears 1983, 96.91</t>
  </si>
  <si>
    <t>illustrated as Brears 1983, 96.98</t>
  </si>
  <si>
    <t>probably a type II</t>
  </si>
  <si>
    <t xml:space="preserve"> probably a type III</t>
  </si>
  <si>
    <t>moderately small Martincamp flasks</t>
  </si>
  <si>
    <t>two Martincamp flasks, one large and the other with thin walls. Also includes numerous sherds which may belong to either vessel</t>
  </si>
  <si>
    <t>cream fabric with occasional rounded red, black and non-crystalline quartz up to 0.5mm diameter and rare elongated voids up to 0.5mm in length</t>
  </si>
  <si>
    <t>illustrated as Moorhouse 1983d 92.9. May contain some body sherds belonging to 1629</t>
  </si>
  <si>
    <t>Drawn alongside SAND 1627 in Moorhouse 1983d, 92.7, but sherds do not join. Includes similar non-joining sherds</t>
  </si>
  <si>
    <t>base of an albarello illustrated alongside 1626 as Moorhouse 1983d 92.7, but sherds do not join</t>
  </si>
  <si>
    <t>illustrated in Moorhouse 1983d, 92.8</t>
  </si>
  <si>
    <t>base of a large sized small storage jar similar to 1625. 1625 may contain some body sherds from this vessel</t>
  </si>
  <si>
    <t>mainly late med in date, includes one sherd of Surrey/Hamps border ware, SYGA. Mainly coarser wares, no Hw</t>
  </si>
  <si>
    <t>single med sherd, Osw?</t>
  </si>
  <si>
    <t>late med fabrics, one SYGA</t>
  </si>
  <si>
    <t>late med fabrics, all coarsewares with no Hw. Includes SYGB and Osw???</t>
  </si>
  <si>
    <t>late med fabrics, mostly coarsewares. Include SYGA and a rod handle</t>
  </si>
  <si>
    <t>late med fabrics, SYGB and SYGA. Mostly coarsewares</t>
  </si>
  <si>
    <t>late med fabrics, SYGB included. No Hw</t>
  </si>
  <si>
    <t>mostly late med coarsewares, including Ogw , SYGA and SYGB. No Hw</t>
  </si>
  <si>
    <t>late med coarsewares, includes Ogw</t>
  </si>
  <si>
    <t>range of fabrics, mostly coarsewares and no Hw. Includes one small sherd of Surrey/Hamps border ware as well as SYGA, SYGB and OGw</t>
  </si>
  <si>
    <t>late med coarsewares including SYGA and Ogw</t>
  </si>
  <si>
    <t>late med coarsewares including SYGA, SYGB and Ogw</t>
  </si>
  <si>
    <t>coarseware fabrics, late med</t>
  </si>
  <si>
    <t>coarsewares including SYGB, Ogw</t>
  </si>
  <si>
    <t>various MP sherds</t>
  </si>
  <si>
    <t>med fabrics, includes SYGB and a very soft oxidised fabric which has been heavily abraded</t>
  </si>
  <si>
    <t>med fabrics, including one Ogw</t>
  </si>
  <si>
    <t>med fabrics, all bar one are coarsewares</t>
  </si>
  <si>
    <t>med fabrics, mostly coarsewares including OGW and SYGB</t>
  </si>
  <si>
    <t>med fabrics, 1 Ogw and 1 SYGA</t>
  </si>
  <si>
    <t>med fabrics</t>
  </si>
  <si>
    <t>very soft pink fabric with occasional red iron ore inclusions up to 1mm diameter, rare rounded white inclusions up to 0.7mm and occasional voids. Given softness of fabric feels like 16th rather than 17thC.</t>
  </si>
  <si>
    <t>med fabrics including OGW and SYGA and SYGB. Only one fineware sherd.</t>
  </si>
  <si>
    <t>Humberware</t>
  </si>
  <si>
    <t>med fabrics, includes Hillam and SYGB. No fineware</t>
  </si>
  <si>
    <t>late med fabrics, includes SYGB and Ogw</t>
  </si>
  <si>
    <t>one rim and three body sherds in various fabrics.</t>
  </si>
  <si>
    <t>decorated type 4 drinking vessel</t>
  </si>
  <si>
    <t>med fabrics, including SYGA and Hillam, all coarsewares</t>
  </si>
  <si>
    <t>med coarseware fabrics</t>
  </si>
  <si>
    <t>med fabrics, all coarsewares. Includes Hillam and SYGA and SYGB.</t>
  </si>
  <si>
    <t>med fabrics, includes Ogw and SYGA</t>
  </si>
  <si>
    <t>med coarseware fabrics, include Ogw, SYGA and SYGB</t>
  </si>
  <si>
    <t xml:space="preserve">med fabrics, one Hw. Includes Ogw, SYGB </t>
  </si>
  <si>
    <t>med fabrics, include SYGA and Ogw</t>
  </si>
  <si>
    <t>med fabrics, including SYGA</t>
  </si>
  <si>
    <t>med fabrics, includes Hw-Cwk (three sherds), Ogw, SYGA and SYGB</t>
  </si>
  <si>
    <t>med fabrics, includes Hw-Cwk joined with one sherd from P2, SYGA and Ogw</t>
  </si>
  <si>
    <t>med fabrics, includes SYGB</t>
  </si>
  <si>
    <t>med fabrics, all coarsewares.</t>
  </si>
  <si>
    <t xml:space="preserve">med fabrics, all coarsewares including Ogw. </t>
  </si>
  <si>
    <t>late med fabrics</t>
  </si>
  <si>
    <t>illustrated as Brears 1983, 95.85. On display in Wakefield museum, minimal data recorded. Tiny costrel- very unusual size</t>
  </si>
  <si>
    <t>illustrated as Brears 1983, 95.88. On display in Wakefield museum, minimal data recorded. One of pair of vessels crushed by stonework</t>
  </si>
  <si>
    <t>illustrated as Brears 1983, 95.89. See notes for 1710, as second vessel in pair. This vessel may even be a jug, as area where spout would be has been reconstructed omitting this detail</t>
  </si>
  <si>
    <t>illustrated as Brears 1983, 95.90. On display in Wakefield museum, minimal data recorded</t>
  </si>
  <si>
    <t>on display in Wakefield museum- minimal data recorded.</t>
  </si>
  <si>
    <t>on display at Sandal castle- minimal data recorded</t>
  </si>
  <si>
    <t>illustrated as Brears 1983, 95.84. On display at Sandal castle, minimal data recorded</t>
  </si>
  <si>
    <t>collection of sherds on display at Sandal castle- maybe Brears 1983 95.86 but cannot be sure. Minimal data recorded</t>
  </si>
  <si>
    <t>may be same vessel as 1704</t>
  </si>
  <si>
    <t>huge drinking vessel, appears to have been assigned to BDD1, but is almost certainly CW and Bw. On display in Wakefield museum, minimal data recorded</t>
  </si>
  <si>
    <t>Possible evidence of repair with iron rivets</t>
  </si>
  <si>
    <t>Metallic level</t>
  </si>
  <si>
    <t>SAND no.</t>
  </si>
  <si>
    <t>Illustrated?</t>
  </si>
  <si>
    <t>Generalised Form</t>
  </si>
  <si>
    <t>cooking vessel</t>
  </si>
  <si>
    <t>other</t>
  </si>
  <si>
    <t>liquid transportation</t>
  </si>
  <si>
    <t>fine storage vessel</t>
  </si>
  <si>
    <t>unclassified</t>
  </si>
  <si>
    <t>food preparation vessel</t>
  </si>
  <si>
    <t>small storage vessel</t>
  </si>
  <si>
    <t>food serving vessel</t>
  </si>
  <si>
    <t>drinkin vessel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</si>
</sst>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9"/>
      <name val="Times New Roman"/>
      <family val="1"/>
    </font>
    <font>
      <sz val="9"/>
      <color theme="1"/>
      <name val="Times New Roman"/>
      <family val="1"/>
    </font>
    <font>
      <sz val="9"/>
      <name val="Times New Roman"/>
      <family val="1"/>
    </font>
    <font>
      <b/>
      <sz val="9"/>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1" fontId="1"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16"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502"/>
  <sheetViews>
    <sheetView tabSelected="1" zoomScaleNormal="100" workbookViewId="0">
      <pane xSplit="1" ySplit="1" topLeftCell="B2" activePane="bottomRight" state="frozen"/>
      <selection pane="topRight" activeCell="B1" sqref="B1"/>
      <selection pane="bottomLeft" activeCell="A2" sqref="A2"/>
      <selection pane="bottomRight" activeCell="D2" sqref="D2"/>
    </sheetView>
  </sheetViews>
  <sheetFormatPr defaultRowHeight="12" x14ac:dyDescent="0.25"/>
  <cols>
    <col min="1" max="1" width="7.7109375" style="3" customWidth="1"/>
    <col min="2" max="2" width="9.140625" style="11" customWidth="1"/>
    <col min="3" max="3" width="13.42578125" style="11" customWidth="1"/>
    <col min="4" max="4" width="35.7109375" style="11" customWidth="1"/>
    <col min="5" max="5" width="7.5703125" style="11" customWidth="1"/>
    <col min="6" max="6" width="9" style="19" customWidth="1"/>
    <col min="7" max="7" width="12.42578125" style="19" customWidth="1"/>
    <col min="8" max="8" width="8.85546875" style="11" customWidth="1"/>
    <col min="9" max="9" width="9.85546875" style="11" customWidth="1"/>
    <col min="10" max="10" width="10.7109375" style="21" customWidth="1"/>
    <col min="11" max="12" width="9" style="11" customWidth="1"/>
    <col min="13" max="13" width="13.42578125" style="11" customWidth="1"/>
    <col min="14" max="14" width="9" style="19" customWidth="1"/>
    <col min="15" max="15" width="8.42578125" style="11" customWidth="1"/>
    <col min="16" max="16" width="9.7109375" style="19" customWidth="1"/>
    <col min="17" max="17" width="7.5703125" style="11" customWidth="1"/>
    <col min="18" max="18" width="8.42578125" style="11" customWidth="1"/>
    <col min="19" max="19" width="59.28515625" style="21" customWidth="1"/>
    <col min="20" max="20" width="5.28515625" style="11" customWidth="1"/>
    <col min="21" max="21" width="5" style="11" customWidth="1"/>
    <col min="22" max="22" width="8.42578125" style="11" customWidth="1"/>
    <col min="23" max="23" width="14.85546875" style="11" customWidth="1"/>
    <col min="24" max="24" width="7.85546875" style="11" customWidth="1"/>
    <col min="25" max="25" width="5.42578125" style="11" customWidth="1"/>
    <col min="26" max="27" width="9" style="11" customWidth="1"/>
    <col min="28" max="28" width="10" style="11" customWidth="1"/>
    <col min="29" max="29" width="10.85546875" style="11" customWidth="1"/>
    <col min="30" max="30" width="7.85546875" style="11" customWidth="1"/>
    <col min="31" max="31" width="15.7109375" style="11" customWidth="1"/>
    <col min="32" max="32" width="14.85546875" style="11" customWidth="1"/>
    <col min="33" max="33" width="50.28515625" style="11" customWidth="1"/>
    <col min="34" max="34" width="10.42578125" style="11" customWidth="1"/>
    <col min="35" max="35" width="43" style="21" customWidth="1"/>
    <col min="36" max="36" width="35.5703125" style="21" customWidth="1"/>
    <col min="37" max="37" width="44.7109375" style="21" customWidth="1"/>
    <col min="38" max="38" width="9.5703125" style="19" customWidth="1"/>
    <col min="39" max="40" width="19.5703125" style="11" customWidth="1"/>
    <col min="41" max="41" width="75.7109375" style="21" customWidth="1"/>
    <col min="42" max="256" width="9.140625" style="11"/>
    <col min="257" max="257" width="9.140625" style="11" customWidth="1"/>
    <col min="258" max="258" width="7.7109375" style="11" customWidth="1"/>
    <col min="259" max="259" width="17.140625" style="11" customWidth="1"/>
    <col min="260" max="260" width="15.5703125" style="11" customWidth="1"/>
    <col min="261" max="261" width="19.28515625" style="11" bestFit="1" customWidth="1"/>
    <col min="262" max="262" width="14.85546875" style="11" customWidth="1"/>
    <col min="263" max="263" width="20" style="11" customWidth="1"/>
    <col min="264" max="264" width="10.28515625" style="11" customWidth="1"/>
    <col min="265" max="265" width="11" style="11" bestFit="1" customWidth="1"/>
    <col min="266" max="266" width="11.28515625" style="11" customWidth="1"/>
    <col min="267" max="267" width="8" style="11" customWidth="1"/>
    <col min="268" max="268" width="11.7109375" style="11" customWidth="1"/>
    <col min="269" max="269" width="14.28515625" style="11" customWidth="1"/>
    <col min="270" max="270" width="7.5703125" style="11" customWidth="1"/>
    <col min="271" max="271" width="8.42578125" style="11" customWidth="1"/>
    <col min="272" max="272" width="77.42578125" style="11" customWidth="1"/>
    <col min="273" max="273" width="6.85546875" style="11" customWidth="1"/>
    <col min="274" max="274" width="7.7109375" style="11" customWidth="1"/>
    <col min="275" max="275" width="9.28515625" style="11" customWidth="1"/>
    <col min="276" max="276" width="14.85546875" style="11" customWidth="1"/>
    <col min="277" max="277" width="8.5703125" style="11" customWidth="1"/>
    <col min="278" max="278" width="7" style="11" customWidth="1"/>
    <col min="279" max="279" width="9.85546875" style="11" customWidth="1"/>
    <col min="280" max="280" width="10.85546875" style="11" customWidth="1"/>
    <col min="281" max="281" width="19.42578125" style="11" bestFit="1" customWidth="1"/>
    <col min="282" max="282" width="18.28515625" style="11" customWidth="1"/>
    <col min="283" max="284" width="15.7109375" style="11" bestFit="1" customWidth="1"/>
    <col min="285" max="285" width="51.42578125" style="11" customWidth="1"/>
    <col min="286" max="286" width="11.5703125" style="11" customWidth="1"/>
    <col min="287" max="287" width="46.42578125" style="11" bestFit="1" customWidth="1"/>
    <col min="288" max="288" width="35.5703125" style="11" customWidth="1"/>
    <col min="289" max="289" width="75.7109375" style="11" customWidth="1"/>
    <col min="290" max="290" width="12.85546875" style="11" bestFit="1" customWidth="1"/>
    <col min="291" max="291" width="13.28515625" style="11" bestFit="1" customWidth="1"/>
    <col min="292" max="292" width="14.28515625" style="11" bestFit="1" customWidth="1"/>
    <col min="293" max="294" width="10.7109375" style="11" bestFit="1" customWidth="1"/>
    <col min="295" max="295" width="26.140625" style="11" bestFit="1" customWidth="1"/>
    <col min="296" max="296" width="75.7109375" style="11" customWidth="1"/>
    <col min="297" max="297" width="9.7109375" style="11" bestFit="1" customWidth="1"/>
    <col min="298" max="512" width="9.140625" style="11"/>
    <col min="513" max="513" width="9.140625" style="11" customWidth="1"/>
    <col min="514" max="514" width="7.7109375" style="11" customWidth="1"/>
    <col min="515" max="515" width="17.140625" style="11" customWidth="1"/>
    <col min="516" max="516" width="15.5703125" style="11" customWidth="1"/>
    <col min="517" max="517" width="19.28515625" style="11" bestFit="1" customWidth="1"/>
    <col min="518" max="518" width="14.85546875" style="11" customWidth="1"/>
    <col min="519" max="519" width="20" style="11" customWidth="1"/>
    <col min="520" max="520" width="10.28515625" style="11" customWidth="1"/>
    <col min="521" max="521" width="11" style="11" bestFit="1" customWidth="1"/>
    <col min="522" max="522" width="11.28515625" style="11" customWidth="1"/>
    <col min="523" max="523" width="8" style="11" customWidth="1"/>
    <col min="524" max="524" width="11.7109375" style="11" customWidth="1"/>
    <col min="525" max="525" width="14.28515625" style="11" customWidth="1"/>
    <col min="526" max="526" width="7.5703125" style="11" customWidth="1"/>
    <col min="527" max="527" width="8.42578125" style="11" customWidth="1"/>
    <col min="528" max="528" width="77.42578125" style="11" customWidth="1"/>
    <col min="529" max="529" width="6.85546875" style="11" customWidth="1"/>
    <col min="530" max="530" width="7.7109375" style="11" customWidth="1"/>
    <col min="531" max="531" width="9.28515625" style="11" customWidth="1"/>
    <col min="532" max="532" width="14.85546875" style="11" customWidth="1"/>
    <col min="533" max="533" width="8.5703125" style="11" customWidth="1"/>
    <col min="534" max="534" width="7" style="11" customWidth="1"/>
    <col min="535" max="535" width="9.85546875" style="11" customWidth="1"/>
    <col min="536" max="536" width="10.85546875" style="11" customWidth="1"/>
    <col min="537" max="537" width="19.42578125" style="11" bestFit="1" customWidth="1"/>
    <col min="538" max="538" width="18.28515625" style="11" customWidth="1"/>
    <col min="539" max="540" width="15.7109375" style="11" bestFit="1" customWidth="1"/>
    <col min="541" max="541" width="51.42578125" style="11" customWidth="1"/>
    <col min="542" max="542" width="11.5703125" style="11" customWidth="1"/>
    <col min="543" max="543" width="46.42578125" style="11" bestFit="1" customWidth="1"/>
    <col min="544" max="544" width="35.5703125" style="11" customWidth="1"/>
    <col min="545" max="545" width="75.7109375" style="11" customWidth="1"/>
    <col min="546" max="546" width="12.85546875" style="11" bestFit="1" customWidth="1"/>
    <col min="547" max="547" width="13.28515625" style="11" bestFit="1" customWidth="1"/>
    <col min="548" max="548" width="14.28515625" style="11" bestFit="1" customWidth="1"/>
    <col min="549" max="550" width="10.7109375" style="11" bestFit="1" customWidth="1"/>
    <col min="551" max="551" width="26.140625" style="11" bestFit="1" customWidth="1"/>
    <col min="552" max="552" width="75.7109375" style="11" customWidth="1"/>
    <col min="553" max="553" width="9.7109375" style="11" bestFit="1" customWidth="1"/>
    <col min="554" max="768" width="9.140625" style="11"/>
    <col min="769" max="769" width="9.140625" style="11" customWidth="1"/>
    <col min="770" max="770" width="7.7109375" style="11" customWidth="1"/>
    <col min="771" max="771" width="17.140625" style="11" customWidth="1"/>
    <col min="772" max="772" width="15.5703125" style="11" customWidth="1"/>
    <col min="773" max="773" width="19.28515625" style="11" bestFit="1" customWidth="1"/>
    <col min="774" max="774" width="14.85546875" style="11" customWidth="1"/>
    <col min="775" max="775" width="20" style="11" customWidth="1"/>
    <col min="776" max="776" width="10.28515625" style="11" customWidth="1"/>
    <col min="777" max="777" width="11" style="11" bestFit="1" customWidth="1"/>
    <col min="778" max="778" width="11.28515625" style="11" customWidth="1"/>
    <col min="779" max="779" width="8" style="11" customWidth="1"/>
    <col min="780" max="780" width="11.7109375" style="11" customWidth="1"/>
    <col min="781" max="781" width="14.28515625" style="11" customWidth="1"/>
    <col min="782" max="782" width="7.5703125" style="11" customWidth="1"/>
    <col min="783" max="783" width="8.42578125" style="11" customWidth="1"/>
    <col min="784" max="784" width="77.42578125" style="11" customWidth="1"/>
    <col min="785" max="785" width="6.85546875" style="11" customWidth="1"/>
    <col min="786" max="786" width="7.7109375" style="11" customWidth="1"/>
    <col min="787" max="787" width="9.28515625" style="11" customWidth="1"/>
    <col min="788" max="788" width="14.85546875" style="11" customWidth="1"/>
    <col min="789" max="789" width="8.5703125" style="11" customWidth="1"/>
    <col min="790" max="790" width="7" style="11" customWidth="1"/>
    <col min="791" max="791" width="9.85546875" style="11" customWidth="1"/>
    <col min="792" max="792" width="10.85546875" style="11" customWidth="1"/>
    <col min="793" max="793" width="19.42578125" style="11" bestFit="1" customWidth="1"/>
    <col min="794" max="794" width="18.28515625" style="11" customWidth="1"/>
    <col min="795" max="796" width="15.7109375" style="11" bestFit="1" customWidth="1"/>
    <col min="797" max="797" width="51.42578125" style="11" customWidth="1"/>
    <col min="798" max="798" width="11.5703125" style="11" customWidth="1"/>
    <col min="799" max="799" width="46.42578125" style="11" bestFit="1" customWidth="1"/>
    <col min="800" max="800" width="35.5703125" style="11" customWidth="1"/>
    <col min="801" max="801" width="75.7109375" style="11" customWidth="1"/>
    <col min="802" max="802" width="12.85546875" style="11" bestFit="1" customWidth="1"/>
    <col min="803" max="803" width="13.28515625" style="11" bestFit="1" customWidth="1"/>
    <col min="804" max="804" width="14.28515625" style="11" bestFit="1" customWidth="1"/>
    <col min="805" max="806" width="10.7109375" style="11" bestFit="1" customWidth="1"/>
    <col min="807" max="807" width="26.140625" style="11" bestFit="1" customWidth="1"/>
    <col min="808" max="808" width="75.7109375" style="11" customWidth="1"/>
    <col min="809" max="809" width="9.7109375" style="11" bestFit="1" customWidth="1"/>
    <col min="810" max="1024" width="9.140625" style="11"/>
    <col min="1025" max="1025" width="9.140625" style="11" customWidth="1"/>
    <col min="1026" max="1026" width="7.7109375" style="11" customWidth="1"/>
    <col min="1027" max="1027" width="17.140625" style="11" customWidth="1"/>
    <col min="1028" max="1028" width="15.5703125" style="11" customWidth="1"/>
    <col min="1029" max="1029" width="19.28515625" style="11" bestFit="1" customWidth="1"/>
    <col min="1030" max="1030" width="14.85546875" style="11" customWidth="1"/>
    <col min="1031" max="1031" width="20" style="11" customWidth="1"/>
    <col min="1032" max="1032" width="10.28515625" style="11" customWidth="1"/>
    <col min="1033" max="1033" width="11" style="11" bestFit="1" customWidth="1"/>
    <col min="1034" max="1034" width="11.28515625" style="11" customWidth="1"/>
    <col min="1035" max="1035" width="8" style="11" customWidth="1"/>
    <col min="1036" max="1036" width="11.7109375" style="11" customWidth="1"/>
    <col min="1037" max="1037" width="14.28515625" style="11" customWidth="1"/>
    <col min="1038" max="1038" width="7.5703125" style="11" customWidth="1"/>
    <col min="1039" max="1039" width="8.42578125" style="11" customWidth="1"/>
    <col min="1040" max="1040" width="77.42578125" style="11" customWidth="1"/>
    <col min="1041" max="1041" width="6.85546875" style="11" customWidth="1"/>
    <col min="1042" max="1042" width="7.7109375" style="11" customWidth="1"/>
    <col min="1043" max="1043" width="9.28515625" style="11" customWidth="1"/>
    <col min="1044" max="1044" width="14.85546875" style="11" customWidth="1"/>
    <col min="1045" max="1045" width="8.5703125" style="11" customWidth="1"/>
    <col min="1046" max="1046" width="7" style="11" customWidth="1"/>
    <col min="1047" max="1047" width="9.85546875" style="11" customWidth="1"/>
    <col min="1048" max="1048" width="10.85546875" style="11" customWidth="1"/>
    <col min="1049" max="1049" width="19.42578125" style="11" bestFit="1" customWidth="1"/>
    <col min="1050" max="1050" width="18.28515625" style="11" customWidth="1"/>
    <col min="1051" max="1052" width="15.7109375" style="11" bestFit="1" customWidth="1"/>
    <col min="1053" max="1053" width="51.42578125" style="11" customWidth="1"/>
    <col min="1054" max="1054" width="11.5703125" style="11" customWidth="1"/>
    <col min="1055" max="1055" width="46.42578125" style="11" bestFit="1" customWidth="1"/>
    <col min="1056" max="1056" width="35.5703125" style="11" customWidth="1"/>
    <col min="1057" max="1057" width="75.7109375" style="11" customWidth="1"/>
    <col min="1058" max="1058" width="12.85546875" style="11" bestFit="1" customWidth="1"/>
    <col min="1059" max="1059" width="13.28515625" style="11" bestFit="1" customWidth="1"/>
    <col min="1060" max="1060" width="14.28515625" style="11" bestFit="1" customWidth="1"/>
    <col min="1061" max="1062" width="10.7109375" style="11" bestFit="1" customWidth="1"/>
    <col min="1063" max="1063" width="26.140625" style="11" bestFit="1" customWidth="1"/>
    <col min="1064" max="1064" width="75.7109375" style="11" customWidth="1"/>
    <col min="1065" max="1065" width="9.7109375" style="11" bestFit="1" customWidth="1"/>
    <col min="1066" max="1280" width="9.140625" style="11"/>
    <col min="1281" max="1281" width="9.140625" style="11" customWidth="1"/>
    <col min="1282" max="1282" width="7.7109375" style="11" customWidth="1"/>
    <col min="1283" max="1283" width="17.140625" style="11" customWidth="1"/>
    <col min="1284" max="1284" width="15.5703125" style="11" customWidth="1"/>
    <col min="1285" max="1285" width="19.28515625" style="11" bestFit="1" customWidth="1"/>
    <col min="1286" max="1286" width="14.85546875" style="11" customWidth="1"/>
    <col min="1287" max="1287" width="20" style="11" customWidth="1"/>
    <col min="1288" max="1288" width="10.28515625" style="11" customWidth="1"/>
    <col min="1289" max="1289" width="11" style="11" bestFit="1" customWidth="1"/>
    <col min="1290" max="1290" width="11.28515625" style="11" customWidth="1"/>
    <col min="1291" max="1291" width="8" style="11" customWidth="1"/>
    <col min="1292" max="1292" width="11.7109375" style="11" customWidth="1"/>
    <col min="1293" max="1293" width="14.28515625" style="11" customWidth="1"/>
    <col min="1294" max="1294" width="7.5703125" style="11" customWidth="1"/>
    <col min="1295" max="1295" width="8.42578125" style="11" customWidth="1"/>
    <col min="1296" max="1296" width="77.42578125" style="11" customWidth="1"/>
    <col min="1297" max="1297" width="6.85546875" style="11" customWidth="1"/>
    <col min="1298" max="1298" width="7.7109375" style="11" customWidth="1"/>
    <col min="1299" max="1299" width="9.28515625" style="11" customWidth="1"/>
    <col min="1300" max="1300" width="14.85546875" style="11" customWidth="1"/>
    <col min="1301" max="1301" width="8.5703125" style="11" customWidth="1"/>
    <col min="1302" max="1302" width="7" style="11" customWidth="1"/>
    <col min="1303" max="1303" width="9.85546875" style="11" customWidth="1"/>
    <col min="1304" max="1304" width="10.85546875" style="11" customWidth="1"/>
    <col min="1305" max="1305" width="19.42578125" style="11" bestFit="1" customWidth="1"/>
    <col min="1306" max="1306" width="18.28515625" style="11" customWidth="1"/>
    <col min="1307" max="1308" width="15.7109375" style="11" bestFit="1" customWidth="1"/>
    <col min="1309" max="1309" width="51.42578125" style="11" customWidth="1"/>
    <col min="1310" max="1310" width="11.5703125" style="11" customWidth="1"/>
    <col min="1311" max="1311" width="46.42578125" style="11" bestFit="1" customWidth="1"/>
    <col min="1312" max="1312" width="35.5703125" style="11" customWidth="1"/>
    <col min="1313" max="1313" width="75.7109375" style="11" customWidth="1"/>
    <col min="1314" max="1314" width="12.85546875" style="11" bestFit="1" customWidth="1"/>
    <col min="1315" max="1315" width="13.28515625" style="11" bestFit="1" customWidth="1"/>
    <col min="1316" max="1316" width="14.28515625" style="11" bestFit="1" customWidth="1"/>
    <col min="1317" max="1318" width="10.7109375" style="11" bestFit="1" customWidth="1"/>
    <col min="1319" max="1319" width="26.140625" style="11" bestFit="1" customWidth="1"/>
    <col min="1320" max="1320" width="75.7109375" style="11" customWidth="1"/>
    <col min="1321" max="1321" width="9.7109375" style="11" bestFit="1" customWidth="1"/>
    <col min="1322" max="1536" width="9.140625" style="11"/>
    <col min="1537" max="1537" width="9.140625" style="11" customWidth="1"/>
    <col min="1538" max="1538" width="7.7109375" style="11" customWidth="1"/>
    <col min="1539" max="1539" width="17.140625" style="11" customWidth="1"/>
    <col min="1540" max="1540" width="15.5703125" style="11" customWidth="1"/>
    <col min="1541" max="1541" width="19.28515625" style="11" bestFit="1" customWidth="1"/>
    <col min="1542" max="1542" width="14.85546875" style="11" customWidth="1"/>
    <col min="1543" max="1543" width="20" style="11" customWidth="1"/>
    <col min="1544" max="1544" width="10.28515625" style="11" customWidth="1"/>
    <col min="1545" max="1545" width="11" style="11" bestFit="1" customWidth="1"/>
    <col min="1546" max="1546" width="11.28515625" style="11" customWidth="1"/>
    <col min="1547" max="1547" width="8" style="11" customWidth="1"/>
    <col min="1548" max="1548" width="11.7109375" style="11" customWidth="1"/>
    <col min="1549" max="1549" width="14.28515625" style="11" customWidth="1"/>
    <col min="1550" max="1550" width="7.5703125" style="11" customWidth="1"/>
    <col min="1551" max="1551" width="8.42578125" style="11" customWidth="1"/>
    <col min="1552" max="1552" width="77.42578125" style="11" customWidth="1"/>
    <col min="1553" max="1553" width="6.85546875" style="11" customWidth="1"/>
    <col min="1554" max="1554" width="7.7109375" style="11" customWidth="1"/>
    <col min="1555" max="1555" width="9.28515625" style="11" customWidth="1"/>
    <col min="1556" max="1556" width="14.85546875" style="11" customWidth="1"/>
    <col min="1557" max="1557" width="8.5703125" style="11" customWidth="1"/>
    <col min="1558" max="1558" width="7" style="11" customWidth="1"/>
    <col min="1559" max="1559" width="9.85546875" style="11" customWidth="1"/>
    <col min="1560" max="1560" width="10.85546875" style="11" customWidth="1"/>
    <col min="1561" max="1561" width="19.42578125" style="11" bestFit="1" customWidth="1"/>
    <col min="1562" max="1562" width="18.28515625" style="11" customWidth="1"/>
    <col min="1563" max="1564" width="15.7109375" style="11" bestFit="1" customWidth="1"/>
    <col min="1565" max="1565" width="51.42578125" style="11" customWidth="1"/>
    <col min="1566" max="1566" width="11.5703125" style="11" customWidth="1"/>
    <col min="1567" max="1567" width="46.42578125" style="11" bestFit="1" customWidth="1"/>
    <col min="1568" max="1568" width="35.5703125" style="11" customWidth="1"/>
    <col min="1569" max="1569" width="75.7109375" style="11" customWidth="1"/>
    <col min="1570" max="1570" width="12.85546875" style="11" bestFit="1" customWidth="1"/>
    <col min="1571" max="1571" width="13.28515625" style="11" bestFit="1" customWidth="1"/>
    <col min="1572" max="1572" width="14.28515625" style="11" bestFit="1" customWidth="1"/>
    <col min="1573" max="1574" width="10.7109375" style="11" bestFit="1" customWidth="1"/>
    <col min="1575" max="1575" width="26.140625" style="11" bestFit="1" customWidth="1"/>
    <col min="1576" max="1576" width="75.7109375" style="11" customWidth="1"/>
    <col min="1577" max="1577" width="9.7109375" style="11" bestFit="1" customWidth="1"/>
    <col min="1578" max="1792" width="9.140625" style="11"/>
    <col min="1793" max="1793" width="9.140625" style="11" customWidth="1"/>
    <col min="1794" max="1794" width="7.7109375" style="11" customWidth="1"/>
    <col min="1795" max="1795" width="17.140625" style="11" customWidth="1"/>
    <col min="1796" max="1796" width="15.5703125" style="11" customWidth="1"/>
    <col min="1797" max="1797" width="19.28515625" style="11" bestFit="1" customWidth="1"/>
    <col min="1798" max="1798" width="14.85546875" style="11" customWidth="1"/>
    <col min="1799" max="1799" width="20" style="11" customWidth="1"/>
    <col min="1800" max="1800" width="10.28515625" style="11" customWidth="1"/>
    <col min="1801" max="1801" width="11" style="11" bestFit="1" customWidth="1"/>
    <col min="1802" max="1802" width="11.28515625" style="11" customWidth="1"/>
    <col min="1803" max="1803" width="8" style="11" customWidth="1"/>
    <col min="1804" max="1804" width="11.7109375" style="11" customWidth="1"/>
    <col min="1805" max="1805" width="14.28515625" style="11" customWidth="1"/>
    <col min="1806" max="1806" width="7.5703125" style="11" customWidth="1"/>
    <col min="1807" max="1807" width="8.42578125" style="11" customWidth="1"/>
    <col min="1808" max="1808" width="77.42578125" style="11" customWidth="1"/>
    <col min="1809" max="1809" width="6.85546875" style="11" customWidth="1"/>
    <col min="1810" max="1810" width="7.7109375" style="11" customWidth="1"/>
    <col min="1811" max="1811" width="9.28515625" style="11" customWidth="1"/>
    <col min="1812" max="1812" width="14.85546875" style="11" customWidth="1"/>
    <col min="1813" max="1813" width="8.5703125" style="11" customWidth="1"/>
    <col min="1814" max="1814" width="7" style="11" customWidth="1"/>
    <col min="1815" max="1815" width="9.85546875" style="11" customWidth="1"/>
    <col min="1816" max="1816" width="10.85546875" style="11" customWidth="1"/>
    <col min="1817" max="1817" width="19.42578125" style="11" bestFit="1" customWidth="1"/>
    <col min="1818" max="1818" width="18.28515625" style="11" customWidth="1"/>
    <col min="1819" max="1820" width="15.7109375" style="11" bestFit="1" customWidth="1"/>
    <col min="1821" max="1821" width="51.42578125" style="11" customWidth="1"/>
    <col min="1822" max="1822" width="11.5703125" style="11" customWidth="1"/>
    <col min="1823" max="1823" width="46.42578125" style="11" bestFit="1" customWidth="1"/>
    <col min="1824" max="1824" width="35.5703125" style="11" customWidth="1"/>
    <col min="1825" max="1825" width="75.7109375" style="11" customWidth="1"/>
    <col min="1826" max="1826" width="12.85546875" style="11" bestFit="1" customWidth="1"/>
    <col min="1827" max="1827" width="13.28515625" style="11" bestFit="1" customWidth="1"/>
    <col min="1828" max="1828" width="14.28515625" style="11" bestFit="1" customWidth="1"/>
    <col min="1829" max="1830" width="10.7109375" style="11" bestFit="1" customWidth="1"/>
    <col min="1831" max="1831" width="26.140625" style="11" bestFit="1" customWidth="1"/>
    <col min="1832" max="1832" width="75.7109375" style="11" customWidth="1"/>
    <col min="1833" max="1833" width="9.7109375" style="11" bestFit="1" customWidth="1"/>
    <col min="1834" max="2048" width="9.140625" style="11"/>
    <col min="2049" max="2049" width="9.140625" style="11" customWidth="1"/>
    <col min="2050" max="2050" width="7.7109375" style="11" customWidth="1"/>
    <col min="2051" max="2051" width="17.140625" style="11" customWidth="1"/>
    <col min="2052" max="2052" width="15.5703125" style="11" customWidth="1"/>
    <col min="2053" max="2053" width="19.28515625" style="11" bestFit="1" customWidth="1"/>
    <col min="2054" max="2054" width="14.85546875" style="11" customWidth="1"/>
    <col min="2055" max="2055" width="20" style="11" customWidth="1"/>
    <col min="2056" max="2056" width="10.28515625" style="11" customWidth="1"/>
    <col min="2057" max="2057" width="11" style="11" bestFit="1" customWidth="1"/>
    <col min="2058" max="2058" width="11.28515625" style="11" customWidth="1"/>
    <col min="2059" max="2059" width="8" style="11" customWidth="1"/>
    <col min="2060" max="2060" width="11.7109375" style="11" customWidth="1"/>
    <col min="2061" max="2061" width="14.28515625" style="11" customWidth="1"/>
    <col min="2062" max="2062" width="7.5703125" style="11" customWidth="1"/>
    <col min="2063" max="2063" width="8.42578125" style="11" customWidth="1"/>
    <col min="2064" max="2064" width="77.42578125" style="11" customWidth="1"/>
    <col min="2065" max="2065" width="6.85546875" style="11" customWidth="1"/>
    <col min="2066" max="2066" width="7.7109375" style="11" customWidth="1"/>
    <col min="2067" max="2067" width="9.28515625" style="11" customWidth="1"/>
    <col min="2068" max="2068" width="14.85546875" style="11" customWidth="1"/>
    <col min="2069" max="2069" width="8.5703125" style="11" customWidth="1"/>
    <col min="2070" max="2070" width="7" style="11" customWidth="1"/>
    <col min="2071" max="2071" width="9.85546875" style="11" customWidth="1"/>
    <col min="2072" max="2072" width="10.85546875" style="11" customWidth="1"/>
    <col min="2073" max="2073" width="19.42578125" style="11" bestFit="1" customWidth="1"/>
    <col min="2074" max="2074" width="18.28515625" style="11" customWidth="1"/>
    <col min="2075" max="2076" width="15.7109375" style="11" bestFit="1" customWidth="1"/>
    <col min="2077" max="2077" width="51.42578125" style="11" customWidth="1"/>
    <col min="2078" max="2078" width="11.5703125" style="11" customWidth="1"/>
    <col min="2079" max="2079" width="46.42578125" style="11" bestFit="1" customWidth="1"/>
    <col min="2080" max="2080" width="35.5703125" style="11" customWidth="1"/>
    <col min="2081" max="2081" width="75.7109375" style="11" customWidth="1"/>
    <col min="2082" max="2082" width="12.85546875" style="11" bestFit="1" customWidth="1"/>
    <col min="2083" max="2083" width="13.28515625" style="11" bestFit="1" customWidth="1"/>
    <col min="2084" max="2084" width="14.28515625" style="11" bestFit="1" customWidth="1"/>
    <col min="2085" max="2086" width="10.7109375" style="11" bestFit="1" customWidth="1"/>
    <col min="2087" max="2087" width="26.140625" style="11" bestFit="1" customWidth="1"/>
    <col min="2088" max="2088" width="75.7109375" style="11" customWidth="1"/>
    <col min="2089" max="2089" width="9.7109375" style="11" bestFit="1" customWidth="1"/>
    <col min="2090" max="2304" width="9.140625" style="11"/>
    <col min="2305" max="2305" width="9.140625" style="11" customWidth="1"/>
    <col min="2306" max="2306" width="7.7109375" style="11" customWidth="1"/>
    <col min="2307" max="2307" width="17.140625" style="11" customWidth="1"/>
    <col min="2308" max="2308" width="15.5703125" style="11" customWidth="1"/>
    <col min="2309" max="2309" width="19.28515625" style="11" bestFit="1" customWidth="1"/>
    <col min="2310" max="2310" width="14.85546875" style="11" customWidth="1"/>
    <col min="2311" max="2311" width="20" style="11" customWidth="1"/>
    <col min="2312" max="2312" width="10.28515625" style="11" customWidth="1"/>
    <col min="2313" max="2313" width="11" style="11" bestFit="1" customWidth="1"/>
    <col min="2314" max="2314" width="11.28515625" style="11" customWidth="1"/>
    <col min="2315" max="2315" width="8" style="11" customWidth="1"/>
    <col min="2316" max="2316" width="11.7109375" style="11" customWidth="1"/>
    <col min="2317" max="2317" width="14.28515625" style="11" customWidth="1"/>
    <col min="2318" max="2318" width="7.5703125" style="11" customWidth="1"/>
    <col min="2319" max="2319" width="8.42578125" style="11" customWidth="1"/>
    <col min="2320" max="2320" width="77.42578125" style="11" customWidth="1"/>
    <col min="2321" max="2321" width="6.85546875" style="11" customWidth="1"/>
    <col min="2322" max="2322" width="7.7109375" style="11" customWidth="1"/>
    <col min="2323" max="2323" width="9.28515625" style="11" customWidth="1"/>
    <col min="2324" max="2324" width="14.85546875" style="11" customWidth="1"/>
    <col min="2325" max="2325" width="8.5703125" style="11" customWidth="1"/>
    <col min="2326" max="2326" width="7" style="11" customWidth="1"/>
    <col min="2327" max="2327" width="9.85546875" style="11" customWidth="1"/>
    <col min="2328" max="2328" width="10.85546875" style="11" customWidth="1"/>
    <col min="2329" max="2329" width="19.42578125" style="11" bestFit="1" customWidth="1"/>
    <col min="2330" max="2330" width="18.28515625" style="11" customWidth="1"/>
    <col min="2331" max="2332" width="15.7109375" style="11" bestFit="1" customWidth="1"/>
    <col min="2333" max="2333" width="51.42578125" style="11" customWidth="1"/>
    <col min="2334" max="2334" width="11.5703125" style="11" customWidth="1"/>
    <col min="2335" max="2335" width="46.42578125" style="11" bestFit="1" customWidth="1"/>
    <col min="2336" max="2336" width="35.5703125" style="11" customWidth="1"/>
    <col min="2337" max="2337" width="75.7109375" style="11" customWidth="1"/>
    <col min="2338" max="2338" width="12.85546875" style="11" bestFit="1" customWidth="1"/>
    <col min="2339" max="2339" width="13.28515625" style="11" bestFit="1" customWidth="1"/>
    <col min="2340" max="2340" width="14.28515625" style="11" bestFit="1" customWidth="1"/>
    <col min="2341" max="2342" width="10.7109375" style="11" bestFit="1" customWidth="1"/>
    <col min="2343" max="2343" width="26.140625" style="11" bestFit="1" customWidth="1"/>
    <col min="2344" max="2344" width="75.7109375" style="11" customWidth="1"/>
    <col min="2345" max="2345" width="9.7109375" style="11" bestFit="1" customWidth="1"/>
    <col min="2346" max="2560" width="9.140625" style="11"/>
    <col min="2561" max="2561" width="9.140625" style="11" customWidth="1"/>
    <col min="2562" max="2562" width="7.7109375" style="11" customWidth="1"/>
    <col min="2563" max="2563" width="17.140625" style="11" customWidth="1"/>
    <col min="2564" max="2564" width="15.5703125" style="11" customWidth="1"/>
    <col min="2565" max="2565" width="19.28515625" style="11" bestFit="1" customWidth="1"/>
    <col min="2566" max="2566" width="14.85546875" style="11" customWidth="1"/>
    <col min="2567" max="2567" width="20" style="11" customWidth="1"/>
    <col min="2568" max="2568" width="10.28515625" style="11" customWidth="1"/>
    <col min="2569" max="2569" width="11" style="11" bestFit="1" customWidth="1"/>
    <col min="2570" max="2570" width="11.28515625" style="11" customWidth="1"/>
    <col min="2571" max="2571" width="8" style="11" customWidth="1"/>
    <col min="2572" max="2572" width="11.7109375" style="11" customWidth="1"/>
    <col min="2573" max="2573" width="14.28515625" style="11" customWidth="1"/>
    <col min="2574" max="2574" width="7.5703125" style="11" customWidth="1"/>
    <col min="2575" max="2575" width="8.42578125" style="11" customWidth="1"/>
    <col min="2576" max="2576" width="77.42578125" style="11" customWidth="1"/>
    <col min="2577" max="2577" width="6.85546875" style="11" customWidth="1"/>
    <col min="2578" max="2578" width="7.7109375" style="11" customWidth="1"/>
    <col min="2579" max="2579" width="9.28515625" style="11" customWidth="1"/>
    <col min="2580" max="2580" width="14.85546875" style="11" customWidth="1"/>
    <col min="2581" max="2581" width="8.5703125" style="11" customWidth="1"/>
    <col min="2582" max="2582" width="7" style="11" customWidth="1"/>
    <col min="2583" max="2583" width="9.85546875" style="11" customWidth="1"/>
    <col min="2584" max="2584" width="10.85546875" style="11" customWidth="1"/>
    <col min="2585" max="2585" width="19.42578125" style="11" bestFit="1" customWidth="1"/>
    <col min="2586" max="2586" width="18.28515625" style="11" customWidth="1"/>
    <col min="2587" max="2588" width="15.7109375" style="11" bestFit="1" customWidth="1"/>
    <col min="2589" max="2589" width="51.42578125" style="11" customWidth="1"/>
    <col min="2590" max="2590" width="11.5703125" style="11" customWidth="1"/>
    <col min="2591" max="2591" width="46.42578125" style="11" bestFit="1" customWidth="1"/>
    <col min="2592" max="2592" width="35.5703125" style="11" customWidth="1"/>
    <col min="2593" max="2593" width="75.7109375" style="11" customWidth="1"/>
    <col min="2594" max="2594" width="12.85546875" style="11" bestFit="1" customWidth="1"/>
    <col min="2595" max="2595" width="13.28515625" style="11" bestFit="1" customWidth="1"/>
    <col min="2596" max="2596" width="14.28515625" style="11" bestFit="1" customWidth="1"/>
    <col min="2597" max="2598" width="10.7109375" style="11" bestFit="1" customWidth="1"/>
    <col min="2599" max="2599" width="26.140625" style="11" bestFit="1" customWidth="1"/>
    <col min="2600" max="2600" width="75.7109375" style="11" customWidth="1"/>
    <col min="2601" max="2601" width="9.7109375" style="11" bestFit="1" customWidth="1"/>
    <col min="2602" max="2816" width="9.140625" style="11"/>
    <col min="2817" max="2817" width="9.140625" style="11" customWidth="1"/>
    <col min="2818" max="2818" width="7.7109375" style="11" customWidth="1"/>
    <col min="2819" max="2819" width="17.140625" style="11" customWidth="1"/>
    <col min="2820" max="2820" width="15.5703125" style="11" customWidth="1"/>
    <col min="2821" max="2821" width="19.28515625" style="11" bestFit="1" customWidth="1"/>
    <col min="2822" max="2822" width="14.85546875" style="11" customWidth="1"/>
    <col min="2823" max="2823" width="20" style="11" customWidth="1"/>
    <col min="2824" max="2824" width="10.28515625" style="11" customWidth="1"/>
    <col min="2825" max="2825" width="11" style="11" bestFit="1" customWidth="1"/>
    <col min="2826" max="2826" width="11.28515625" style="11" customWidth="1"/>
    <col min="2827" max="2827" width="8" style="11" customWidth="1"/>
    <col min="2828" max="2828" width="11.7109375" style="11" customWidth="1"/>
    <col min="2829" max="2829" width="14.28515625" style="11" customWidth="1"/>
    <col min="2830" max="2830" width="7.5703125" style="11" customWidth="1"/>
    <col min="2831" max="2831" width="8.42578125" style="11" customWidth="1"/>
    <col min="2832" max="2832" width="77.42578125" style="11" customWidth="1"/>
    <col min="2833" max="2833" width="6.85546875" style="11" customWidth="1"/>
    <col min="2834" max="2834" width="7.7109375" style="11" customWidth="1"/>
    <col min="2835" max="2835" width="9.28515625" style="11" customWidth="1"/>
    <col min="2836" max="2836" width="14.85546875" style="11" customWidth="1"/>
    <col min="2837" max="2837" width="8.5703125" style="11" customWidth="1"/>
    <col min="2838" max="2838" width="7" style="11" customWidth="1"/>
    <col min="2839" max="2839" width="9.85546875" style="11" customWidth="1"/>
    <col min="2840" max="2840" width="10.85546875" style="11" customWidth="1"/>
    <col min="2841" max="2841" width="19.42578125" style="11" bestFit="1" customWidth="1"/>
    <col min="2842" max="2842" width="18.28515625" style="11" customWidth="1"/>
    <col min="2843" max="2844" width="15.7109375" style="11" bestFit="1" customWidth="1"/>
    <col min="2845" max="2845" width="51.42578125" style="11" customWidth="1"/>
    <col min="2846" max="2846" width="11.5703125" style="11" customWidth="1"/>
    <col min="2847" max="2847" width="46.42578125" style="11" bestFit="1" customWidth="1"/>
    <col min="2848" max="2848" width="35.5703125" style="11" customWidth="1"/>
    <col min="2849" max="2849" width="75.7109375" style="11" customWidth="1"/>
    <col min="2850" max="2850" width="12.85546875" style="11" bestFit="1" customWidth="1"/>
    <col min="2851" max="2851" width="13.28515625" style="11" bestFit="1" customWidth="1"/>
    <col min="2852" max="2852" width="14.28515625" style="11" bestFit="1" customWidth="1"/>
    <col min="2853" max="2854" width="10.7109375" style="11" bestFit="1" customWidth="1"/>
    <col min="2855" max="2855" width="26.140625" style="11" bestFit="1" customWidth="1"/>
    <col min="2856" max="2856" width="75.7109375" style="11" customWidth="1"/>
    <col min="2857" max="2857" width="9.7109375" style="11" bestFit="1" customWidth="1"/>
    <col min="2858" max="3072" width="9.140625" style="11"/>
    <col min="3073" max="3073" width="9.140625" style="11" customWidth="1"/>
    <col min="3074" max="3074" width="7.7109375" style="11" customWidth="1"/>
    <col min="3075" max="3075" width="17.140625" style="11" customWidth="1"/>
    <col min="3076" max="3076" width="15.5703125" style="11" customWidth="1"/>
    <col min="3077" max="3077" width="19.28515625" style="11" bestFit="1" customWidth="1"/>
    <col min="3078" max="3078" width="14.85546875" style="11" customWidth="1"/>
    <col min="3079" max="3079" width="20" style="11" customWidth="1"/>
    <col min="3080" max="3080" width="10.28515625" style="11" customWidth="1"/>
    <col min="3081" max="3081" width="11" style="11" bestFit="1" customWidth="1"/>
    <col min="3082" max="3082" width="11.28515625" style="11" customWidth="1"/>
    <col min="3083" max="3083" width="8" style="11" customWidth="1"/>
    <col min="3084" max="3084" width="11.7109375" style="11" customWidth="1"/>
    <col min="3085" max="3085" width="14.28515625" style="11" customWidth="1"/>
    <col min="3086" max="3086" width="7.5703125" style="11" customWidth="1"/>
    <col min="3087" max="3087" width="8.42578125" style="11" customWidth="1"/>
    <col min="3088" max="3088" width="77.42578125" style="11" customWidth="1"/>
    <col min="3089" max="3089" width="6.85546875" style="11" customWidth="1"/>
    <col min="3090" max="3090" width="7.7109375" style="11" customWidth="1"/>
    <col min="3091" max="3091" width="9.28515625" style="11" customWidth="1"/>
    <col min="3092" max="3092" width="14.85546875" style="11" customWidth="1"/>
    <col min="3093" max="3093" width="8.5703125" style="11" customWidth="1"/>
    <col min="3094" max="3094" width="7" style="11" customWidth="1"/>
    <col min="3095" max="3095" width="9.85546875" style="11" customWidth="1"/>
    <col min="3096" max="3096" width="10.85546875" style="11" customWidth="1"/>
    <col min="3097" max="3097" width="19.42578125" style="11" bestFit="1" customWidth="1"/>
    <col min="3098" max="3098" width="18.28515625" style="11" customWidth="1"/>
    <col min="3099" max="3100" width="15.7109375" style="11" bestFit="1" customWidth="1"/>
    <col min="3101" max="3101" width="51.42578125" style="11" customWidth="1"/>
    <col min="3102" max="3102" width="11.5703125" style="11" customWidth="1"/>
    <col min="3103" max="3103" width="46.42578125" style="11" bestFit="1" customWidth="1"/>
    <col min="3104" max="3104" width="35.5703125" style="11" customWidth="1"/>
    <col min="3105" max="3105" width="75.7109375" style="11" customWidth="1"/>
    <col min="3106" max="3106" width="12.85546875" style="11" bestFit="1" customWidth="1"/>
    <col min="3107" max="3107" width="13.28515625" style="11" bestFit="1" customWidth="1"/>
    <col min="3108" max="3108" width="14.28515625" style="11" bestFit="1" customWidth="1"/>
    <col min="3109" max="3110" width="10.7109375" style="11" bestFit="1" customWidth="1"/>
    <col min="3111" max="3111" width="26.140625" style="11" bestFit="1" customWidth="1"/>
    <col min="3112" max="3112" width="75.7109375" style="11" customWidth="1"/>
    <col min="3113" max="3113" width="9.7109375" style="11" bestFit="1" customWidth="1"/>
    <col min="3114" max="3328" width="9.140625" style="11"/>
    <col min="3329" max="3329" width="9.140625" style="11" customWidth="1"/>
    <col min="3330" max="3330" width="7.7109375" style="11" customWidth="1"/>
    <col min="3331" max="3331" width="17.140625" style="11" customWidth="1"/>
    <col min="3332" max="3332" width="15.5703125" style="11" customWidth="1"/>
    <col min="3333" max="3333" width="19.28515625" style="11" bestFit="1" customWidth="1"/>
    <col min="3334" max="3334" width="14.85546875" style="11" customWidth="1"/>
    <col min="3335" max="3335" width="20" style="11" customWidth="1"/>
    <col min="3336" max="3336" width="10.28515625" style="11" customWidth="1"/>
    <col min="3337" max="3337" width="11" style="11" bestFit="1" customWidth="1"/>
    <col min="3338" max="3338" width="11.28515625" style="11" customWidth="1"/>
    <col min="3339" max="3339" width="8" style="11" customWidth="1"/>
    <col min="3340" max="3340" width="11.7109375" style="11" customWidth="1"/>
    <col min="3341" max="3341" width="14.28515625" style="11" customWidth="1"/>
    <col min="3342" max="3342" width="7.5703125" style="11" customWidth="1"/>
    <col min="3343" max="3343" width="8.42578125" style="11" customWidth="1"/>
    <col min="3344" max="3344" width="77.42578125" style="11" customWidth="1"/>
    <col min="3345" max="3345" width="6.85546875" style="11" customWidth="1"/>
    <col min="3346" max="3346" width="7.7109375" style="11" customWidth="1"/>
    <col min="3347" max="3347" width="9.28515625" style="11" customWidth="1"/>
    <col min="3348" max="3348" width="14.85546875" style="11" customWidth="1"/>
    <col min="3349" max="3349" width="8.5703125" style="11" customWidth="1"/>
    <col min="3350" max="3350" width="7" style="11" customWidth="1"/>
    <col min="3351" max="3351" width="9.85546875" style="11" customWidth="1"/>
    <col min="3352" max="3352" width="10.85546875" style="11" customWidth="1"/>
    <col min="3353" max="3353" width="19.42578125" style="11" bestFit="1" customWidth="1"/>
    <col min="3354" max="3354" width="18.28515625" style="11" customWidth="1"/>
    <col min="3355" max="3356" width="15.7109375" style="11" bestFit="1" customWidth="1"/>
    <col min="3357" max="3357" width="51.42578125" style="11" customWidth="1"/>
    <col min="3358" max="3358" width="11.5703125" style="11" customWidth="1"/>
    <col min="3359" max="3359" width="46.42578125" style="11" bestFit="1" customWidth="1"/>
    <col min="3360" max="3360" width="35.5703125" style="11" customWidth="1"/>
    <col min="3361" max="3361" width="75.7109375" style="11" customWidth="1"/>
    <col min="3362" max="3362" width="12.85546875" style="11" bestFit="1" customWidth="1"/>
    <col min="3363" max="3363" width="13.28515625" style="11" bestFit="1" customWidth="1"/>
    <col min="3364" max="3364" width="14.28515625" style="11" bestFit="1" customWidth="1"/>
    <col min="3365" max="3366" width="10.7109375" style="11" bestFit="1" customWidth="1"/>
    <col min="3367" max="3367" width="26.140625" style="11" bestFit="1" customWidth="1"/>
    <col min="3368" max="3368" width="75.7109375" style="11" customWidth="1"/>
    <col min="3369" max="3369" width="9.7109375" style="11" bestFit="1" customWidth="1"/>
    <col min="3370" max="3584" width="9.140625" style="11"/>
    <col min="3585" max="3585" width="9.140625" style="11" customWidth="1"/>
    <col min="3586" max="3586" width="7.7109375" style="11" customWidth="1"/>
    <col min="3587" max="3587" width="17.140625" style="11" customWidth="1"/>
    <col min="3588" max="3588" width="15.5703125" style="11" customWidth="1"/>
    <col min="3589" max="3589" width="19.28515625" style="11" bestFit="1" customWidth="1"/>
    <col min="3590" max="3590" width="14.85546875" style="11" customWidth="1"/>
    <col min="3591" max="3591" width="20" style="11" customWidth="1"/>
    <col min="3592" max="3592" width="10.28515625" style="11" customWidth="1"/>
    <col min="3593" max="3593" width="11" style="11" bestFit="1" customWidth="1"/>
    <col min="3594" max="3594" width="11.28515625" style="11" customWidth="1"/>
    <col min="3595" max="3595" width="8" style="11" customWidth="1"/>
    <col min="3596" max="3596" width="11.7109375" style="11" customWidth="1"/>
    <col min="3597" max="3597" width="14.28515625" style="11" customWidth="1"/>
    <col min="3598" max="3598" width="7.5703125" style="11" customWidth="1"/>
    <col min="3599" max="3599" width="8.42578125" style="11" customWidth="1"/>
    <col min="3600" max="3600" width="77.42578125" style="11" customWidth="1"/>
    <col min="3601" max="3601" width="6.85546875" style="11" customWidth="1"/>
    <col min="3602" max="3602" width="7.7109375" style="11" customWidth="1"/>
    <col min="3603" max="3603" width="9.28515625" style="11" customWidth="1"/>
    <col min="3604" max="3604" width="14.85546875" style="11" customWidth="1"/>
    <col min="3605" max="3605" width="8.5703125" style="11" customWidth="1"/>
    <col min="3606" max="3606" width="7" style="11" customWidth="1"/>
    <col min="3607" max="3607" width="9.85546875" style="11" customWidth="1"/>
    <col min="3608" max="3608" width="10.85546875" style="11" customWidth="1"/>
    <col min="3609" max="3609" width="19.42578125" style="11" bestFit="1" customWidth="1"/>
    <col min="3610" max="3610" width="18.28515625" style="11" customWidth="1"/>
    <col min="3611" max="3612" width="15.7109375" style="11" bestFit="1" customWidth="1"/>
    <col min="3613" max="3613" width="51.42578125" style="11" customWidth="1"/>
    <col min="3614" max="3614" width="11.5703125" style="11" customWidth="1"/>
    <col min="3615" max="3615" width="46.42578125" style="11" bestFit="1" customWidth="1"/>
    <col min="3616" max="3616" width="35.5703125" style="11" customWidth="1"/>
    <col min="3617" max="3617" width="75.7109375" style="11" customWidth="1"/>
    <col min="3618" max="3618" width="12.85546875" style="11" bestFit="1" customWidth="1"/>
    <col min="3619" max="3619" width="13.28515625" style="11" bestFit="1" customWidth="1"/>
    <col min="3620" max="3620" width="14.28515625" style="11" bestFit="1" customWidth="1"/>
    <col min="3621" max="3622" width="10.7109375" style="11" bestFit="1" customWidth="1"/>
    <col min="3623" max="3623" width="26.140625" style="11" bestFit="1" customWidth="1"/>
    <col min="3624" max="3624" width="75.7109375" style="11" customWidth="1"/>
    <col min="3625" max="3625" width="9.7109375" style="11" bestFit="1" customWidth="1"/>
    <col min="3626" max="3840" width="9.140625" style="11"/>
    <col min="3841" max="3841" width="9.140625" style="11" customWidth="1"/>
    <col min="3842" max="3842" width="7.7109375" style="11" customWidth="1"/>
    <col min="3843" max="3843" width="17.140625" style="11" customWidth="1"/>
    <col min="3844" max="3844" width="15.5703125" style="11" customWidth="1"/>
    <col min="3845" max="3845" width="19.28515625" style="11" bestFit="1" customWidth="1"/>
    <col min="3846" max="3846" width="14.85546875" style="11" customWidth="1"/>
    <col min="3847" max="3847" width="20" style="11" customWidth="1"/>
    <col min="3848" max="3848" width="10.28515625" style="11" customWidth="1"/>
    <col min="3849" max="3849" width="11" style="11" bestFit="1" customWidth="1"/>
    <col min="3850" max="3850" width="11.28515625" style="11" customWidth="1"/>
    <col min="3851" max="3851" width="8" style="11" customWidth="1"/>
    <col min="3852" max="3852" width="11.7109375" style="11" customWidth="1"/>
    <col min="3853" max="3853" width="14.28515625" style="11" customWidth="1"/>
    <col min="3854" max="3854" width="7.5703125" style="11" customWidth="1"/>
    <col min="3855" max="3855" width="8.42578125" style="11" customWidth="1"/>
    <col min="3856" max="3856" width="77.42578125" style="11" customWidth="1"/>
    <col min="3857" max="3857" width="6.85546875" style="11" customWidth="1"/>
    <col min="3858" max="3858" width="7.7109375" style="11" customWidth="1"/>
    <col min="3859" max="3859" width="9.28515625" style="11" customWidth="1"/>
    <col min="3860" max="3860" width="14.85546875" style="11" customWidth="1"/>
    <col min="3861" max="3861" width="8.5703125" style="11" customWidth="1"/>
    <col min="3862" max="3862" width="7" style="11" customWidth="1"/>
    <col min="3863" max="3863" width="9.85546875" style="11" customWidth="1"/>
    <col min="3864" max="3864" width="10.85546875" style="11" customWidth="1"/>
    <col min="3865" max="3865" width="19.42578125" style="11" bestFit="1" customWidth="1"/>
    <col min="3866" max="3866" width="18.28515625" style="11" customWidth="1"/>
    <col min="3867" max="3868" width="15.7109375" style="11" bestFit="1" customWidth="1"/>
    <col min="3869" max="3869" width="51.42578125" style="11" customWidth="1"/>
    <col min="3870" max="3870" width="11.5703125" style="11" customWidth="1"/>
    <col min="3871" max="3871" width="46.42578125" style="11" bestFit="1" customWidth="1"/>
    <col min="3872" max="3872" width="35.5703125" style="11" customWidth="1"/>
    <col min="3873" max="3873" width="75.7109375" style="11" customWidth="1"/>
    <col min="3874" max="3874" width="12.85546875" style="11" bestFit="1" customWidth="1"/>
    <col min="3875" max="3875" width="13.28515625" style="11" bestFit="1" customWidth="1"/>
    <col min="3876" max="3876" width="14.28515625" style="11" bestFit="1" customWidth="1"/>
    <col min="3877" max="3878" width="10.7109375" style="11" bestFit="1" customWidth="1"/>
    <col min="3879" max="3879" width="26.140625" style="11" bestFit="1" customWidth="1"/>
    <col min="3880" max="3880" width="75.7109375" style="11" customWidth="1"/>
    <col min="3881" max="3881" width="9.7109375" style="11" bestFit="1" customWidth="1"/>
    <col min="3882" max="4096" width="9.140625" style="11"/>
    <col min="4097" max="4097" width="9.140625" style="11" customWidth="1"/>
    <col min="4098" max="4098" width="7.7109375" style="11" customWidth="1"/>
    <col min="4099" max="4099" width="17.140625" style="11" customWidth="1"/>
    <col min="4100" max="4100" width="15.5703125" style="11" customWidth="1"/>
    <col min="4101" max="4101" width="19.28515625" style="11" bestFit="1" customWidth="1"/>
    <col min="4102" max="4102" width="14.85546875" style="11" customWidth="1"/>
    <col min="4103" max="4103" width="20" style="11" customWidth="1"/>
    <col min="4104" max="4104" width="10.28515625" style="11" customWidth="1"/>
    <col min="4105" max="4105" width="11" style="11" bestFit="1" customWidth="1"/>
    <col min="4106" max="4106" width="11.28515625" style="11" customWidth="1"/>
    <col min="4107" max="4107" width="8" style="11" customWidth="1"/>
    <col min="4108" max="4108" width="11.7109375" style="11" customWidth="1"/>
    <col min="4109" max="4109" width="14.28515625" style="11" customWidth="1"/>
    <col min="4110" max="4110" width="7.5703125" style="11" customWidth="1"/>
    <col min="4111" max="4111" width="8.42578125" style="11" customWidth="1"/>
    <col min="4112" max="4112" width="77.42578125" style="11" customWidth="1"/>
    <col min="4113" max="4113" width="6.85546875" style="11" customWidth="1"/>
    <col min="4114" max="4114" width="7.7109375" style="11" customWidth="1"/>
    <col min="4115" max="4115" width="9.28515625" style="11" customWidth="1"/>
    <col min="4116" max="4116" width="14.85546875" style="11" customWidth="1"/>
    <col min="4117" max="4117" width="8.5703125" style="11" customWidth="1"/>
    <col min="4118" max="4118" width="7" style="11" customWidth="1"/>
    <col min="4119" max="4119" width="9.85546875" style="11" customWidth="1"/>
    <col min="4120" max="4120" width="10.85546875" style="11" customWidth="1"/>
    <col min="4121" max="4121" width="19.42578125" style="11" bestFit="1" customWidth="1"/>
    <col min="4122" max="4122" width="18.28515625" style="11" customWidth="1"/>
    <col min="4123" max="4124" width="15.7109375" style="11" bestFit="1" customWidth="1"/>
    <col min="4125" max="4125" width="51.42578125" style="11" customWidth="1"/>
    <col min="4126" max="4126" width="11.5703125" style="11" customWidth="1"/>
    <col min="4127" max="4127" width="46.42578125" style="11" bestFit="1" customWidth="1"/>
    <col min="4128" max="4128" width="35.5703125" style="11" customWidth="1"/>
    <col min="4129" max="4129" width="75.7109375" style="11" customWidth="1"/>
    <col min="4130" max="4130" width="12.85546875" style="11" bestFit="1" customWidth="1"/>
    <col min="4131" max="4131" width="13.28515625" style="11" bestFit="1" customWidth="1"/>
    <col min="4132" max="4132" width="14.28515625" style="11" bestFit="1" customWidth="1"/>
    <col min="4133" max="4134" width="10.7109375" style="11" bestFit="1" customWidth="1"/>
    <col min="4135" max="4135" width="26.140625" style="11" bestFit="1" customWidth="1"/>
    <col min="4136" max="4136" width="75.7109375" style="11" customWidth="1"/>
    <col min="4137" max="4137" width="9.7109375" style="11" bestFit="1" customWidth="1"/>
    <col min="4138" max="4352" width="9.140625" style="11"/>
    <col min="4353" max="4353" width="9.140625" style="11" customWidth="1"/>
    <col min="4354" max="4354" width="7.7109375" style="11" customWidth="1"/>
    <col min="4355" max="4355" width="17.140625" style="11" customWidth="1"/>
    <col min="4356" max="4356" width="15.5703125" style="11" customWidth="1"/>
    <col min="4357" max="4357" width="19.28515625" style="11" bestFit="1" customWidth="1"/>
    <col min="4358" max="4358" width="14.85546875" style="11" customWidth="1"/>
    <col min="4359" max="4359" width="20" style="11" customWidth="1"/>
    <col min="4360" max="4360" width="10.28515625" style="11" customWidth="1"/>
    <col min="4361" max="4361" width="11" style="11" bestFit="1" customWidth="1"/>
    <col min="4362" max="4362" width="11.28515625" style="11" customWidth="1"/>
    <col min="4363" max="4363" width="8" style="11" customWidth="1"/>
    <col min="4364" max="4364" width="11.7109375" style="11" customWidth="1"/>
    <col min="4365" max="4365" width="14.28515625" style="11" customWidth="1"/>
    <col min="4366" max="4366" width="7.5703125" style="11" customWidth="1"/>
    <col min="4367" max="4367" width="8.42578125" style="11" customWidth="1"/>
    <col min="4368" max="4368" width="77.42578125" style="11" customWidth="1"/>
    <col min="4369" max="4369" width="6.85546875" style="11" customWidth="1"/>
    <col min="4370" max="4370" width="7.7109375" style="11" customWidth="1"/>
    <col min="4371" max="4371" width="9.28515625" style="11" customWidth="1"/>
    <col min="4372" max="4372" width="14.85546875" style="11" customWidth="1"/>
    <col min="4373" max="4373" width="8.5703125" style="11" customWidth="1"/>
    <col min="4374" max="4374" width="7" style="11" customWidth="1"/>
    <col min="4375" max="4375" width="9.85546875" style="11" customWidth="1"/>
    <col min="4376" max="4376" width="10.85546875" style="11" customWidth="1"/>
    <col min="4377" max="4377" width="19.42578125" style="11" bestFit="1" customWidth="1"/>
    <col min="4378" max="4378" width="18.28515625" style="11" customWidth="1"/>
    <col min="4379" max="4380" width="15.7109375" style="11" bestFit="1" customWidth="1"/>
    <col min="4381" max="4381" width="51.42578125" style="11" customWidth="1"/>
    <col min="4382" max="4382" width="11.5703125" style="11" customWidth="1"/>
    <col min="4383" max="4383" width="46.42578125" style="11" bestFit="1" customWidth="1"/>
    <col min="4384" max="4384" width="35.5703125" style="11" customWidth="1"/>
    <col min="4385" max="4385" width="75.7109375" style="11" customWidth="1"/>
    <col min="4386" max="4386" width="12.85546875" style="11" bestFit="1" customWidth="1"/>
    <col min="4387" max="4387" width="13.28515625" style="11" bestFit="1" customWidth="1"/>
    <col min="4388" max="4388" width="14.28515625" style="11" bestFit="1" customWidth="1"/>
    <col min="4389" max="4390" width="10.7109375" style="11" bestFit="1" customWidth="1"/>
    <col min="4391" max="4391" width="26.140625" style="11" bestFit="1" customWidth="1"/>
    <col min="4392" max="4392" width="75.7109375" style="11" customWidth="1"/>
    <col min="4393" max="4393" width="9.7109375" style="11" bestFit="1" customWidth="1"/>
    <col min="4394" max="4608" width="9.140625" style="11"/>
    <col min="4609" max="4609" width="9.140625" style="11" customWidth="1"/>
    <col min="4610" max="4610" width="7.7109375" style="11" customWidth="1"/>
    <col min="4611" max="4611" width="17.140625" style="11" customWidth="1"/>
    <col min="4612" max="4612" width="15.5703125" style="11" customWidth="1"/>
    <col min="4613" max="4613" width="19.28515625" style="11" bestFit="1" customWidth="1"/>
    <col min="4614" max="4614" width="14.85546875" style="11" customWidth="1"/>
    <col min="4615" max="4615" width="20" style="11" customWidth="1"/>
    <col min="4616" max="4616" width="10.28515625" style="11" customWidth="1"/>
    <col min="4617" max="4617" width="11" style="11" bestFit="1" customWidth="1"/>
    <col min="4618" max="4618" width="11.28515625" style="11" customWidth="1"/>
    <col min="4619" max="4619" width="8" style="11" customWidth="1"/>
    <col min="4620" max="4620" width="11.7109375" style="11" customWidth="1"/>
    <col min="4621" max="4621" width="14.28515625" style="11" customWidth="1"/>
    <col min="4622" max="4622" width="7.5703125" style="11" customWidth="1"/>
    <col min="4623" max="4623" width="8.42578125" style="11" customWidth="1"/>
    <col min="4624" max="4624" width="77.42578125" style="11" customWidth="1"/>
    <col min="4625" max="4625" width="6.85546875" style="11" customWidth="1"/>
    <col min="4626" max="4626" width="7.7109375" style="11" customWidth="1"/>
    <col min="4627" max="4627" width="9.28515625" style="11" customWidth="1"/>
    <col min="4628" max="4628" width="14.85546875" style="11" customWidth="1"/>
    <col min="4629" max="4629" width="8.5703125" style="11" customWidth="1"/>
    <col min="4630" max="4630" width="7" style="11" customWidth="1"/>
    <col min="4631" max="4631" width="9.85546875" style="11" customWidth="1"/>
    <col min="4632" max="4632" width="10.85546875" style="11" customWidth="1"/>
    <col min="4633" max="4633" width="19.42578125" style="11" bestFit="1" customWidth="1"/>
    <col min="4634" max="4634" width="18.28515625" style="11" customWidth="1"/>
    <col min="4635" max="4636" width="15.7109375" style="11" bestFit="1" customWidth="1"/>
    <col min="4637" max="4637" width="51.42578125" style="11" customWidth="1"/>
    <col min="4638" max="4638" width="11.5703125" style="11" customWidth="1"/>
    <col min="4639" max="4639" width="46.42578125" style="11" bestFit="1" customWidth="1"/>
    <col min="4640" max="4640" width="35.5703125" style="11" customWidth="1"/>
    <col min="4641" max="4641" width="75.7109375" style="11" customWidth="1"/>
    <col min="4642" max="4642" width="12.85546875" style="11" bestFit="1" customWidth="1"/>
    <col min="4643" max="4643" width="13.28515625" style="11" bestFit="1" customWidth="1"/>
    <col min="4644" max="4644" width="14.28515625" style="11" bestFit="1" customWidth="1"/>
    <col min="4645" max="4646" width="10.7109375" style="11" bestFit="1" customWidth="1"/>
    <col min="4647" max="4647" width="26.140625" style="11" bestFit="1" customWidth="1"/>
    <col min="4648" max="4648" width="75.7109375" style="11" customWidth="1"/>
    <col min="4649" max="4649" width="9.7109375" style="11" bestFit="1" customWidth="1"/>
    <col min="4650" max="4864" width="9.140625" style="11"/>
    <col min="4865" max="4865" width="9.140625" style="11" customWidth="1"/>
    <col min="4866" max="4866" width="7.7109375" style="11" customWidth="1"/>
    <col min="4867" max="4867" width="17.140625" style="11" customWidth="1"/>
    <col min="4868" max="4868" width="15.5703125" style="11" customWidth="1"/>
    <col min="4869" max="4869" width="19.28515625" style="11" bestFit="1" customWidth="1"/>
    <col min="4870" max="4870" width="14.85546875" style="11" customWidth="1"/>
    <col min="4871" max="4871" width="20" style="11" customWidth="1"/>
    <col min="4872" max="4872" width="10.28515625" style="11" customWidth="1"/>
    <col min="4873" max="4873" width="11" style="11" bestFit="1" customWidth="1"/>
    <col min="4874" max="4874" width="11.28515625" style="11" customWidth="1"/>
    <col min="4875" max="4875" width="8" style="11" customWidth="1"/>
    <col min="4876" max="4876" width="11.7109375" style="11" customWidth="1"/>
    <col min="4877" max="4877" width="14.28515625" style="11" customWidth="1"/>
    <col min="4878" max="4878" width="7.5703125" style="11" customWidth="1"/>
    <col min="4879" max="4879" width="8.42578125" style="11" customWidth="1"/>
    <col min="4880" max="4880" width="77.42578125" style="11" customWidth="1"/>
    <col min="4881" max="4881" width="6.85546875" style="11" customWidth="1"/>
    <col min="4882" max="4882" width="7.7109375" style="11" customWidth="1"/>
    <col min="4883" max="4883" width="9.28515625" style="11" customWidth="1"/>
    <col min="4884" max="4884" width="14.85546875" style="11" customWidth="1"/>
    <col min="4885" max="4885" width="8.5703125" style="11" customWidth="1"/>
    <col min="4886" max="4886" width="7" style="11" customWidth="1"/>
    <col min="4887" max="4887" width="9.85546875" style="11" customWidth="1"/>
    <col min="4888" max="4888" width="10.85546875" style="11" customWidth="1"/>
    <col min="4889" max="4889" width="19.42578125" style="11" bestFit="1" customWidth="1"/>
    <col min="4890" max="4890" width="18.28515625" style="11" customWidth="1"/>
    <col min="4891" max="4892" width="15.7109375" style="11" bestFit="1" customWidth="1"/>
    <col min="4893" max="4893" width="51.42578125" style="11" customWidth="1"/>
    <col min="4894" max="4894" width="11.5703125" style="11" customWidth="1"/>
    <col min="4895" max="4895" width="46.42578125" style="11" bestFit="1" customWidth="1"/>
    <col min="4896" max="4896" width="35.5703125" style="11" customWidth="1"/>
    <col min="4897" max="4897" width="75.7109375" style="11" customWidth="1"/>
    <col min="4898" max="4898" width="12.85546875" style="11" bestFit="1" customWidth="1"/>
    <col min="4899" max="4899" width="13.28515625" style="11" bestFit="1" customWidth="1"/>
    <col min="4900" max="4900" width="14.28515625" style="11" bestFit="1" customWidth="1"/>
    <col min="4901" max="4902" width="10.7109375" style="11" bestFit="1" customWidth="1"/>
    <col min="4903" max="4903" width="26.140625" style="11" bestFit="1" customWidth="1"/>
    <col min="4904" max="4904" width="75.7109375" style="11" customWidth="1"/>
    <col min="4905" max="4905" width="9.7109375" style="11" bestFit="1" customWidth="1"/>
    <col min="4906" max="5120" width="9.140625" style="11"/>
    <col min="5121" max="5121" width="9.140625" style="11" customWidth="1"/>
    <col min="5122" max="5122" width="7.7109375" style="11" customWidth="1"/>
    <col min="5123" max="5123" width="17.140625" style="11" customWidth="1"/>
    <col min="5124" max="5124" width="15.5703125" style="11" customWidth="1"/>
    <col min="5125" max="5125" width="19.28515625" style="11" bestFit="1" customWidth="1"/>
    <col min="5126" max="5126" width="14.85546875" style="11" customWidth="1"/>
    <col min="5127" max="5127" width="20" style="11" customWidth="1"/>
    <col min="5128" max="5128" width="10.28515625" style="11" customWidth="1"/>
    <col min="5129" max="5129" width="11" style="11" bestFit="1" customWidth="1"/>
    <col min="5130" max="5130" width="11.28515625" style="11" customWidth="1"/>
    <col min="5131" max="5131" width="8" style="11" customWidth="1"/>
    <col min="5132" max="5132" width="11.7109375" style="11" customWidth="1"/>
    <col min="5133" max="5133" width="14.28515625" style="11" customWidth="1"/>
    <col min="5134" max="5134" width="7.5703125" style="11" customWidth="1"/>
    <col min="5135" max="5135" width="8.42578125" style="11" customWidth="1"/>
    <col min="5136" max="5136" width="77.42578125" style="11" customWidth="1"/>
    <col min="5137" max="5137" width="6.85546875" style="11" customWidth="1"/>
    <col min="5138" max="5138" width="7.7109375" style="11" customWidth="1"/>
    <col min="5139" max="5139" width="9.28515625" style="11" customWidth="1"/>
    <col min="5140" max="5140" width="14.85546875" style="11" customWidth="1"/>
    <col min="5141" max="5141" width="8.5703125" style="11" customWidth="1"/>
    <col min="5142" max="5142" width="7" style="11" customWidth="1"/>
    <col min="5143" max="5143" width="9.85546875" style="11" customWidth="1"/>
    <col min="5144" max="5144" width="10.85546875" style="11" customWidth="1"/>
    <col min="5145" max="5145" width="19.42578125" style="11" bestFit="1" customWidth="1"/>
    <col min="5146" max="5146" width="18.28515625" style="11" customWidth="1"/>
    <col min="5147" max="5148" width="15.7109375" style="11" bestFit="1" customWidth="1"/>
    <col min="5149" max="5149" width="51.42578125" style="11" customWidth="1"/>
    <col min="5150" max="5150" width="11.5703125" style="11" customWidth="1"/>
    <col min="5151" max="5151" width="46.42578125" style="11" bestFit="1" customWidth="1"/>
    <col min="5152" max="5152" width="35.5703125" style="11" customWidth="1"/>
    <col min="5153" max="5153" width="75.7109375" style="11" customWidth="1"/>
    <col min="5154" max="5154" width="12.85546875" style="11" bestFit="1" customWidth="1"/>
    <col min="5155" max="5155" width="13.28515625" style="11" bestFit="1" customWidth="1"/>
    <col min="5156" max="5156" width="14.28515625" style="11" bestFit="1" customWidth="1"/>
    <col min="5157" max="5158" width="10.7109375" style="11" bestFit="1" customWidth="1"/>
    <col min="5159" max="5159" width="26.140625" style="11" bestFit="1" customWidth="1"/>
    <col min="5160" max="5160" width="75.7109375" style="11" customWidth="1"/>
    <col min="5161" max="5161" width="9.7109375" style="11" bestFit="1" customWidth="1"/>
    <col min="5162" max="5376" width="9.140625" style="11"/>
    <col min="5377" max="5377" width="9.140625" style="11" customWidth="1"/>
    <col min="5378" max="5378" width="7.7109375" style="11" customWidth="1"/>
    <col min="5379" max="5379" width="17.140625" style="11" customWidth="1"/>
    <col min="5380" max="5380" width="15.5703125" style="11" customWidth="1"/>
    <col min="5381" max="5381" width="19.28515625" style="11" bestFit="1" customWidth="1"/>
    <col min="5382" max="5382" width="14.85546875" style="11" customWidth="1"/>
    <col min="5383" max="5383" width="20" style="11" customWidth="1"/>
    <col min="5384" max="5384" width="10.28515625" style="11" customWidth="1"/>
    <col min="5385" max="5385" width="11" style="11" bestFit="1" customWidth="1"/>
    <col min="5386" max="5386" width="11.28515625" style="11" customWidth="1"/>
    <col min="5387" max="5387" width="8" style="11" customWidth="1"/>
    <col min="5388" max="5388" width="11.7109375" style="11" customWidth="1"/>
    <col min="5389" max="5389" width="14.28515625" style="11" customWidth="1"/>
    <col min="5390" max="5390" width="7.5703125" style="11" customWidth="1"/>
    <col min="5391" max="5391" width="8.42578125" style="11" customWidth="1"/>
    <col min="5392" max="5392" width="77.42578125" style="11" customWidth="1"/>
    <col min="5393" max="5393" width="6.85546875" style="11" customWidth="1"/>
    <col min="5394" max="5394" width="7.7109375" style="11" customWidth="1"/>
    <col min="5395" max="5395" width="9.28515625" style="11" customWidth="1"/>
    <col min="5396" max="5396" width="14.85546875" style="11" customWidth="1"/>
    <col min="5397" max="5397" width="8.5703125" style="11" customWidth="1"/>
    <col min="5398" max="5398" width="7" style="11" customWidth="1"/>
    <col min="5399" max="5399" width="9.85546875" style="11" customWidth="1"/>
    <col min="5400" max="5400" width="10.85546875" style="11" customWidth="1"/>
    <col min="5401" max="5401" width="19.42578125" style="11" bestFit="1" customWidth="1"/>
    <col min="5402" max="5402" width="18.28515625" style="11" customWidth="1"/>
    <col min="5403" max="5404" width="15.7109375" style="11" bestFit="1" customWidth="1"/>
    <col min="5405" max="5405" width="51.42578125" style="11" customWidth="1"/>
    <col min="5406" max="5406" width="11.5703125" style="11" customWidth="1"/>
    <col min="5407" max="5407" width="46.42578125" style="11" bestFit="1" customWidth="1"/>
    <col min="5408" max="5408" width="35.5703125" style="11" customWidth="1"/>
    <col min="5409" max="5409" width="75.7109375" style="11" customWidth="1"/>
    <col min="5410" max="5410" width="12.85546875" style="11" bestFit="1" customWidth="1"/>
    <col min="5411" max="5411" width="13.28515625" style="11" bestFit="1" customWidth="1"/>
    <col min="5412" max="5412" width="14.28515625" style="11" bestFit="1" customWidth="1"/>
    <col min="5413" max="5414" width="10.7109375" style="11" bestFit="1" customWidth="1"/>
    <col min="5415" max="5415" width="26.140625" style="11" bestFit="1" customWidth="1"/>
    <col min="5416" max="5416" width="75.7109375" style="11" customWidth="1"/>
    <col min="5417" max="5417" width="9.7109375" style="11" bestFit="1" customWidth="1"/>
    <col min="5418" max="5632" width="9.140625" style="11"/>
    <col min="5633" max="5633" width="9.140625" style="11" customWidth="1"/>
    <col min="5634" max="5634" width="7.7109375" style="11" customWidth="1"/>
    <col min="5635" max="5635" width="17.140625" style="11" customWidth="1"/>
    <col min="5636" max="5636" width="15.5703125" style="11" customWidth="1"/>
    <col min="5637" max="5637" width="19.28515625" style="11" bestFit="1" customWidth="1"/>
    <col min="5638" max="5638" width="14.85546875" style="11" customWidth="1"/>
    <col min="5639" max="5639" width="20" style="11" customWidth="1"/>
    <col min="5640" max="5640" width="10.28515625" style="11" customWidth="1"/>
    <col min="5641" max="5641" width="11" style="11" bestFit="1" customWidth="1"/>
    <col min="5642" max="5642" width="11.28515625" style="11" customWidth="1"/>
    <col min="5643" max="5643" width="8" style="11" customWidth="1"/>
    <col min="5644" max="5644" width="11.7109375" style="11" customWidth="1"/>
    <col min="5645" max="5645" width="14.28515625" style="11" customWidth="1"/>
    <col min="5646" max="5646" width="7.5703125" style="11" customWidth="1"/>
    <col min="5647" max="5647" width="8.42578125" style="11" customWidth="1"/>
    <col min="5648" max="5648" width="77.42578125" style="11" customWidth="1"/>
    <col min="5649" max="5649" width="6.85546875" style="11" customWidth="1"/>
    <col min="5650" max="5650" width="7.7109375" style="11" customWidth="1"/>
    <col min="5651" max="5651" width="9.28515625" style="11" customWidth="1"/>
    <col min="5652" max="5652" width="14.85546875" style="11" customWidth="1"/>
    <col min="5653" max="5653" width="8.5703125" style="11" customWidth="1"/>
    <col min="5654" max="5654" width="7" style="11" customWidth="1"/>
    <col min="5655" max="5655" width="9.85546875" style="11" customWidth="1"/>
    <col min="5656" max="5656" width="10.85546875" style="11" customWidth="1"/>
    <col min="5657" max="5657" width="19.42578125" style="11" bestFit="1" customWidth="1"/>
    <col min="5658" max="5658" width="18.28515625" style="11" customWidth="1"/>
    <col min="5659" max="5660" width="15.7109375" style="11" bestFit="1" customWidth="1"/>
    <col min="5661" max="5661" width="51.42578125" style="11" customWidth="1"/>
    <col min="5662" max="5662" width="11.5703125" style="11" customWidth="1"/>
    <col min="5663" max="5663" width="46.42578125" style="11" bestFit="1" customWidth="1"/>
    <col min="5664" max="5664" width="35.5703125" style="11" customWidth="1"/>
    <col min="5665" max="5665" width="75.7109375" style="11" customWidth="1"/>
    <col min="5666" max="5666" width="12.85546875" style="11" bestFit="1" customWidth="1"/>
    <col min="5667" max="5667" width="13.28515625" style="11" bestFit="1" customWidth="1"/>
    <col min="5668" max="5668" width="14.28515625" style="11" bestFit="1" customWidth="1"/>
    <col min="5669" max="5670" width="10.7109375" style="11" bestFit="1" customWidth="1"/>
    <col min="5671" max="5671" width="26.140625" style="11" bestFit="1" customWidth="1"/>
    <col min="5672" max="5672" width="75.7109375" style="11" customWidth="1"/>
    <col min="5673" max="5673" width="9.7109375" style="11" bestFit="1" customWidth="1"/>
    <col min="5674" max="5888" width="9.140625" style="11"/>
    <col min="5889" max="5889" width="9.140625" style="11" customWidth="1"/>
    <col min="5890" max="5890" width="7.7109375" style="11" customWidth="1"/>
    <col min="5891" max="5891" width="17.140625" style="11" customWidth="1"/>
    <col min="5892" max="5892" width="15.5703125" style="11" customWidth="1"/>
    <col min="5893" max="5893" width="19.28515625" style="11" bestFit="1" customWidth="1"/>
    <col min="5894" max="5894" width="14.85546875" style="11" customWidth="1"/>
    <col min="5895" max="5895" width="20" style="11" customWidth="1"/>
    <col min="5896" max="5896" width="10.28515625" style="11" customWidth="1"/>
    <col min="5897" max="5897" width="11" style="11" bestFit="1" customWidth="1"/>
    <col min="5898" max="5898" width="11.28515625" style="11" customWidth="1"/>
    <col min="5899" max="5899" width="8" style="11" customWidth="1"/>
    <col min="5900" max="5900" width="11.7109375" style="11" customWidth="1"/>
    <col min="5901" max="5901" width="14.28515625" style="11" customWidth="1"/>
    <col min="5902" max="5902" width="7.5703125" style="11" customWidth="1"/>
    <col min="5903" max="5903" width="8.42578125" style="11" customWidth="1"/>
    <col min="5904" max="5904" width="77.42578125" style="11" customWidth="1"/>
    <col min="5905" max="5905" width="6.85546875" style="11" customWidth="1"/>
    <col min="5906" max="5906" width="7.7109375" style="11" customWidth="1"/>
    <col min="5907" max="5907" width="9.28515625" style="11" customWidth="1"/>
    <col min="5908" max="5908" width="14.85546875" style="11" customWidth="1"/>
    <col min="5909" max="5909" width="8.5703125" style="11" customWidth="1"/>
    <col min="5910" max="5910" width="7" style="11" customWidth="1"/>
    <col min="5911" max="5911" width="9.85546875" style="11" customWidth="1"/>
    <col min="5912" max="5912" width="10.85546875" style="11" customWidth="1"/>
    <col min="5913" max="5913" width="19.42578125" style="11" bestFit="1" customWidth="1"/>
    <col min="5914" max="5914" width="18.28515625" style="11" customWidth="1"/>
    <col min="5915" max="5916" width="15.7109375" style="11" bestFit="1" customWidth="1"/>
    <col min="5917" max="5917" width="51.42578125" style="11" customWidth="1"/>
    <col min="5918" max="5918" width="11.5703125" style="11" customWidth="1"/>
    <col min="5919" max="5919" width="46.42578125" style="11" bestFit="1" customWidth="1"/>
    <col min="5920" max="5920" width="35.5703125" style="11" customWidth="1"/>
    <col min="5921" max="5921" width="75.7109375" style="11" customWidth="1"/>
    <col min="5922" max="5922" width="12.85546875" style="11" bestFit="1" customWidth="1"/>
    <col min="5923" max="5923" width="13.28515625" style="11" bestFit="1" customWidth="1"/>
    <col min="5924" max="5924" width="14.28515625" style="11" bestFit="1" customWidth="1"/>
    <col min="5925" max="5926" width="10.7109375" style="11" bestFit="1" customWidth="1"/>
    <col min="5927" max="5927" width="26.140625" style="11" bestFit="1" customWidth="1"/>
    <col min="5928" max="5928" width="75.7109375" style="11" customWidth="1"/>
    <col min="5929" max="5929" width="9.7109375" style="11" bestFit="1" customWidth="1"/>
    <col min="5930" max="6144" width="9.140625" style="11"/>
    <col min="6145" max="6145" width="9.140625" style="11" customWidth="1"/>
    <col min="6146" max="6146" width="7.7109375" style="11" customWidth="1"/>
    <col min="6147" max="6147" width="17.140625" style="11" customWidth="1"/>
    <col min="6148" max="6148" width="15.5703125" style="11" customWidth="1"/>
    <col min="6149" max="6149" width="19.28515625" style="11" bestFit="1" customWidth="1"/>
    <col min="6150" max="6150" width="14.85546875" style="11" customWidth="1"/>
    <col min="6151" max="6151" width="20" style="11" customWidth="1"/>
    <col min="6152" max="6152" width="10.28515625" style="11" customWidth="1"/>
    <col min="6153" max="6153" width="11" style="11" bestFit="1" customWidth="1"/>
    <col min="6154" max="6154" width="11.28515625" style="11" customWidth="1"/>
    <col min="6155" max="6155" width="8" style="11" customWidth="1"/>
    <col min="6156" max="6156" width="11.7109375" style="11" customWidth="1"/>
    <col min="6157" max="6157" width="14.28515625" style="11" customWidth="1"/>
    <col min="6158" max="6158" width="7.5703125" style="11" customWidth="1"/>
    <col min="6159" max="6159" width="8.42578125" style="11" customWidth="1"/>
    <col min="6160" max="6160" width="77.42578125" style="11" customWidth="1"/>
    <col min="6161" max="6161" width="6.85546875" style="11" customWidth="1"/>
    <col min="6162" max="6162" width="7.7109375" style="11" customWidth="1"/>
    <col min="6163" max="6163" width="9.28515625" style="11" customWidth="1"/>
    <col min="6164" max="6164" width="14.85546875" style="11" customWidth="1"/>
    <col min="6165" max="6165" width="8.5703125" style="11" customWidth="1"/>
    <col min="6166" max="6166" width="7" style="11" customWidth="1"/>
    <col min="6167" max="6167" width="9.85546875" style="11" customWidth="1"/>
    <col min="6168" max="6168" width="10.85546875" style="11" customWidth="1"/>
    <col min="6169" max="6169" width="19.42578125" style="11" bestFit="1" customWidth="1"/>
    <col min="6170" max="6170" width="18.28515625" style="11" customWidth="1"/>
    <col min="6171" max="6172" width="15.7109375" style="11" bestFit="1" customWidth="1"/>
    <col min="6173" max="6173" width="51.42578125" style="11" customWidth="1"/>
    <col min="6174" max="6174" width="11.5703125" style="11" customWidth="1"/>
    <col min="6175" max="6175" width="46.42578125" style="11" bestFit="1" customWidth="1"/>
    <col min="6176" max="6176" width="35.5703125" style="11" customWidth="1"/>
    <col min="6177" max="6177" width="75.7109375" style="11" customWidth="1"/>
    <col min="6178" max="6178" width="12.85546875" style="11" bestFit="1" customWidth="1"/>
    <col min="6179" max="6179" width="13.28515625" style="11" bestFit="1" customWidth="1"/>
    <col min="6180" max="6180" width="14.28515625" style="11" bestFit="1" customWidth="1"/>
    <col min="6181" max="6182" width="10.7109375" style="11" bestFit="1" customWidth="1"/>
    <col min="6183" max="6183" width="26.140625" style="11" bestFit="1" customWidth="1"/>
    <col min="6184" max="6184" width="75.7109375" style="11" customWidth="1"/>
    <col min="6185" max="6185" width="9.7109375" style="11" bestFit="1" customWidth="1"/>
    <col min="6186" max="6400" width="9.140625" style="11"/>
    <col min="6401" max="6401" width="9.140625" style="11" customWidth="1"/>
    <col min="6402" max="6402" width="7.7109375" style="11" customWidth="1"/>
    <col min="6403" max="6403" width="17.140625" style="11" customWidth="1"/>
    <col min="6404" max="6404" width="15.5703125" style="11" customWidth="1"/>
    <col min="6405" max="6405" width="19.28515625" style="11" bestFit="1" customWidth="1"/>
    <col min="6406" max="6406" width="14.85546875" style="11" customWidth="1"/>
    <col min="6407" max="6407" width="20" style="11" customWidth="1"/>
    <col min="6408" max="6408" width="10.28515625" style="11" customWidth="1"/>
    <col min="6409" max="6409" width="11" style="11" bestFit="1" customWidth="1"/>
    <col min="6410" max="6410" width="11.28515625" style="11" customWidth="1"/>
    <col min="6411" max="6411" width="8" style="11" customWidth="1"/>
    <col min="6412" max="6412" width="11.7109375" style="11" customWidth="1"/>
    <col min="6413" max="6413" width="14.28515625" style="11" customWidth="1"/>
    <col min="6414" max="6414" width="7.5703125" style="11" customWidth="1"/>
    <col min="6415" max="6415" width="8.42578125" style="11" customWidth="1"/>
    <col min="6416" max="6416" width="77.42578125" style="11" customWidth="1"/>
    <col min="6417" max="6417" width="6.85546875" style="11" customWidth="1"/>
    <col min="6418" max="6418" width="7.7109375" style="11" customWidth="1"/>
    <col min="6419" max="6419" width="9.28515625" style="11" customWidth="1"/>
    <col min="6420" max="6420" width="14.85546875" style="11" customWidth="1"/>
    <col min="6421" max="6421" width="8.5703125" style="11" customWidth="1"/>
    <col min="6422" max="6422" width="7" style="11" customWidth="1"/>
    <col min="6423" max="6423" width="9.85546875" style="11" customWidth="1"/>
    <col min="6424" max="6424" width="10.85546875" style="11" customWidth="1"/>
    <col min="6425" max="6425" width="19.42578125" style="11" bestFit="1" customWidth="1"/>
    <col min="6426" max="6426" width="18.28515625" style="11" customWidth="1"/>
    <col min="6427" max="6428" width="15.7109375" style="11" bestFit="1" customWidth="1"/>
    <col min="6429" max="6429" width="51.42578125" style="11" customWidth="1"/>
    <col min="6430" max="6430" width="11.5703125" style="11" customWidth="1"/>
    <col min="6431" max="6431" width="46.42578125" style="11" bestFit="1" customWidth="1"/>
    <col min="6432" max="6432" width="35.5703125" style="11" customWidth="1"/>
    <col min="6433" max="6433" width="75.7109375" style="11" customWidth="1"/>
    <col min="6434" max="6434" width="12.85546875" style="11" bestFit="1" customWidth="1"/>
    <col min="6435" max="6435" width="13.28515625" style="11" bestFit="1" customWidth="1"/>
    <col min="6436" max="6436" width="14.28515625" style="11" bestFit="1" customWidth="1"/>
    <col min="6437" max="6438" width="10.7109375" style="11" bestFit="1" customWidth="1"/>
    <col min="6439" max="6439" width="26.140625" style="11" bestFit="1" customWidth="1"/>
    <col min="6440" max="6440" width="75.7109375" style="11" customWidth="1"/>
    <col min="6441" max="6441" width="9.7109375" style="11" bestFit="1" customWidth="1"/>
    <col min="6442" max="6656" width="9.140625" style="11"/>
    <col min="6657" max="6657" width="9.140625" style="11" customWidth="1"/>
    <col min="6658" max="6658" width="7.7109375" style="11" customWidth="1"/>
    <col min="6659" max="6659" width="17.140625" style="11" customWidth="1"/>
    <col min="6660" max="6660" width="15.5703125" style="11" customWidth="1"/>
    <col min="6661" max="6661" width="19.28515625" style="11" bestFit="1" customWidth="1"/>
    <col min="6662" max="6662" width="14.85546875" style="11" customWidth="1"/>
    <col min="6663" max="6663" width="20" style="11" customWidth="1"/>
    <col min="6664" max="6664" width="10.28515625" style="11" customWidth="1"/>
    <col min="6665" max="6665" width="11" style="11" bestFit="1" customWidth="1"/>
    <col min="6666" max="6666" width="11.28515625" style="11" customWidth="1"/>
    <col min="6667" max="6667" width="8" style="11" customWidth="1"/>
    <col min="6668" max="6668" width="11.7109375" style="11" customWidth="1"/>
    <col min="6669" max="6669" width="14.28515625" style="11" customWidth="1"/>
    <col min="6670" max="6670" width="7.5703125" style="11" customWidth="1"/>
    <col min="6671" max="6671" width="8.42578125" style="11" customWidth="1"/>
    <col min="6672" max="6672" width="77.42578125" style="11" customWidth="1"/>
    <col min="6673" max="6673" width="6.85546875" style="11" customWidth="1"/>
    <col min="6674" max="6674" width="7.7109375" style="11" customWidth="1"/>
    <col min="6675" max="6675" width="9.28515625" style="11" customWidth="1"/>
    <col min="6676" max="6676" width="14.85546875" style="11" customWidth="1"/>
    <col min="6677" max="6677" width="8.5703125" style="11" customWidth="1"/>
    <col min="6678" max="6678" width="7" style="11" customWidth="1"/>
    <col min="6679" max="6679" width="9.85546875" style="11" customWidth="1"/>
    <col min="6680" max="6680" width="10.85546875" style="11" customWidth="1"/>
    <col min="6681" max="6681" width="19.42578125" style="11" bestFit="1" customWidth="1"/>
    <col min="6682" max="6682" width="18.28515625" style="11" customWidth="1"/>
    <col min="6683" max="6684" width="15.7109375" style="11" bestFit="1" customWidth="1"/>
    <col min="6685" max="6685" width="51.42578125" style="11" customWidth="1"/>
    <col min="6686" max="6686" width="11.5703125" style="11" customWidth="1"/>
    <col min="6687" max="6687" width="46.42578125" style="11" bestFit="1" customWidth="1"/>
    <col min="6688" max="6688" width="35.5703125" style="11" customWidth="1"/>
    <col min="6689" max="6689" width="75.7109375" style="11" customWidth="1"/>
    <col min="6690" max="6690" width="12.85546875" style="11" bestFit="1" customWidth="1"/>
    <col min="6691" max="6691" width="13.28515625" style="11" bestFit="1" customWidth="1"/>
    <col min="6692" max="6692" width="14.28515625" style="11" bestFit="1" customWidth="1"/>
    <col min="6693" max="6694" width="10.7109375" style="11" bestFit="1" customWidth="1"/>
    <col min="6695" max="6695" width="26.140625" style="11" bestFit="1" customWidth="1"/>
    <col min="6696" max="6696" width="75.7109375" style="11" customWidth="1"/>
    <col min="6697" max="6697" width="9.7109375" style="11" bestFit="1" customWidth="1"/>
    <col min="6698" max="6912" width="9.140625" style="11"/>
    <col min="6913" max="6913" width="9.140625" style="11" customWidth="1"/>
    <col min="6914" max="6914" width="7.7109375" style="11" customWidth="1"/>
    <col min="6915" max="6915" width="17.140625" style="11" customWidth="1"/>
    <col min="6916" max="6916" width="15.5703125" style="11" customWidth="1"/>
    <col min="6917" max="6917" width="19.28515625" style="11" bestFit="1" customWidth="1"/>
    <col min="6918" max="6918" width="14.85546875" style="11" customWidth="1"/>
    <col min="6919" max="6919" width="20" style="11" customWidth="1"/>
    <col min="6920" max="6920" width="10.28515625" style="11" customWidth="1"/>
    <col min="6921" max="6921" width="11" style="11" bestFit="1" customWidth="1"/>
    <col min="6922" max="6922" width="11.28515625" style="11" customWidth="1"/>
    <col min="6923" max="6923" width="8" style="11" customWidth="1"/>
    <col min="6924" max="6924" width="11.7109375" style="11" customWidth="1"/>
    <col min="6925" max="6925" width="14.28515625" style="11" customWidth="1"/>
    <col min="6926" max="6926" width="7.5703125" style="11" customWidth="1"/>
    <col min="6927" max="6927" width="8.42578125" style="11" customWidth="1"/>
    <col min="6928" max="6928" width="77.42578125" style="11" customWidth="1"/>
    <col min="6929" max="6929" width="6.85546875" style="11" customWidth="1"/>
    <col min="6930" max="6930" width="7.7109375" style="11" customWidth="1"/>
    <col min="6931" max="6931" width="9.28515625" style="11" customWidth="1"/>
    <col min="6932" max="6932" width="14.85546875" style="11" customWidth="1"/>
    <col min="6933" max="6933" width="8.5703125" style="11" customWidth="1"/>
    <col min="6934" max="6934" width="7" style="11" customWidth="1"/>
    <col min="6935" max="6935" width="9.85546875" style="11" customWidth="1"/>
    <col min="6936" max="6936" width="10.85546875" style="11" customWidth="1"/>
    <col min="6937" max="6937" width="19.42578125" style="11" bestFit="1" customWidth="1"/>
    <col min="6938" max="6938" width="18.28515625" style="11" customWidth="1"/>
    <col min="6939" max="6940" width="15.7109375" style="11" bestFit="1" customWidth="1"/>
    <col min="6941" max="6941" width="51.42578125" style="11" customWidth="1"/>
    <col min="6942" max="6942" width="11.5703125" style="11" customWidth="1"/>
    <col min="6943" max="6943" width="46.42578125" style="11" bestFit="1" customWidth="1"/>
    <col min="6944" max="6944" width="35.5703125" style="11" customWidth="1"/>
    <col min="6945" max="6945" width="75.7109375" style="11" customWidth="1"/>
    <col min="6946" max="6946" width="12.85546875" style="11" bestFit="1" customWidth="1"/>
    <col min="6947" max="6947" width="13.28515625" style="11" bestFit="1" customWidth="1"/>
    <col min="6948" max="6948" width="14.28515625" style="11" bestFit="1" customWidth="1"/>
    <col min="6949" max="6950" width="10.7109375" style="11" bestFit="1" customWidth="1"/>
    <col min="6951" max="6951" width="26.140625" style="11" bestFit="1" customWidth="1"/>
    <col min="6952" max="6952" width="75.7109375" style="11" customWidth="1"/>
    <col min="6953" max="6953" width="9.7109375" style="11" bestFit="1" customWidth="1"/>
    <col min="6954" max="7168" width="9.140625" style="11"/>
    <col min="7169" max="7169" width="9.140625" style="11" customWidth="1"/>
    <col min="7170" max="7170" width="7.7109375" style="11" customWidth="1"/>
    <col min="7171" max="7171" width="17.140625" style="11" customWidth="1"/>
    <col min="7172" max="7172" width="15.5703125" style="11" customWidth="1"/>
    <col min="7173" max="7173" width="19.28515625" style="11" bestFit="1" customWidth="1"/>
    <col min="7174" max="7174" width="14.85546875" style="11" customWidth="1"/>
    <col min="7175" max="7175" width="20" style="11" customWidth="1"/>
    <col min="7176" max="7176" width="10.28515625" style="11" customWidth="1"/>
    <col min="7177" max="7177" width="11" style="11" bestFit="1" customWidth="1"/>
    <col min="7178" max="7178" width="11.28515625" style="11" customWidth="1"/>
    <col min="7179" max="7179" width="8" style="11" customWidth="1"/>
    <col min="7180" max="7180" width="11.7109375" style="11" customWidth="1"/>
    <col min="7181" max="7181" width="14.28515625" style="11" customWidth="1"/>
    <col min="7182" max="7182" width="7.5703125" style="11" customWidth="1"/>
    <col min="7183" max="7183" width="8.42578125" style="11" customWidth="1"/>
    <col min="7184" max="7184" width="77.42578125" style="11" customWidth="1"/>
    <col min="7185" max="7185" width="6.85546875" style="11" customWidth="1"/>
    <col min="7186" max="7186" width="7.7109375" style="11" customWidth="1"/>
    <col min="7187" max="7187" width="9.28515625" style="11" customWidth="1"/>
    <col min="7188" max="7188" width="14.85546875" style="11" customWidth="1"/>
    <col min="7189" max="7189" width="8.5703125" style="11" customWidth="1"/>
    <col min="7190" max="7190" width="7" style="11" customWidth="1"/>
    <col min="7191" max="7191" width="9.85546875" style="11" customWidth="1"/>
    <col min="7192" max="7192" width="10.85546875" style="11" customWidth="1"/>
    <col min="7193" max="7193" width="19.42578125" style="11" bestFit="1" customWidth="1"/>
    <col min="7194" max="7194" width="18.28515625" style="11" customWidth="1"/>
    <col min="7195" max="7196" width="15.7109375" style="11" bestFit="1" customWidth="1"/>
    <col min="7197" max="7197" width="51.42578125" style="11" customWidth="1"/>
    <col min="7198" max="7198" width="11.5703125" style="11" customWidth="1"/>
    <col min="7199" max="7199" width="46.42578125" style="11" bestFit="1" customWidth="1"/>
    <col min="7200" max="7200" width="35.5703125" style="11" customWidth="1"/>
    <col min="7201" max="7201" width="75.7109375" style="11" customWidth="1"/>
    <col min="7202" max="7202" width="12.85546875" style="11" bestFit="1" customWidth="1"/>
    <col min="7203" max="7203" width="13.28515625" style="11" bestFit="1" customWidth="1"/>
    <col min="7204" max="7204" width="14.28515625" style="11" bestFit="1" customWidth="1"/>
    <col min="7205" max="7206" width="10.7109375" style="11" bestFit="1" customWidth="1"/>
    <col min="7207" max="7207" width="26.140625" style="11" bestFit="1" customWidth="1"/>
    <col min="7208" max="7208" width="75.7109375" style="11" customWidth="1"/>
    <col min="7209" max="7209" width="9.7109375" style="11" bestFit="1" customWidth="1"/>
    <col min="7210" max="7424" width="9.140625" style="11"/>
    <col min="7425" max="7425" width="9.140625" style="11" customWidth="1"/>
    <col min="7426" max="7426" width="7.7109375" style="11" customWidth="1"/>
    <col min="7427" max="7427" width="17.140625" style="11" customWidth="1"/>
    <col min="7428" max="7428" width="15.5703125" style="11" customWidth="1"/>
    <col min="7429" max="7429" width="19.28515625" style="11" bestFit="1" customWidth="1"/>
    <col min="7430" max="7430" width="14.85546875" style="11" customWidth="1"/>
    <col min="7431" max="7431" width="20" style="11" customWidth="1"/>
    <col min="7432" max="7432" width="10.28515625" style="11" customWidth="1"/>
    <col min="7433" max="7433" width="11" style="11" bestFit="1" customWidth="1"/>
    <col min="7434" max="7434" width="11.28515625" style="11" customWidth="1"/>
    <col min="7435" max="7435" width="8" style="11" customWidth="1"/>
    <col min="7436" max="7436" width="11.7109375" style="11" customWidth="1"/>
    <col min="7437" max="7437" width="14.28515625" style="11" customWidth="1"/>
    <col min="7438" max="7438" width="7.5703125" style="11" customWidth="1"/>
    <col min="7439" max="7439" width="8.42578125" style="11" customWidth="1"/>
    <col min="7440" max="7440" width="77.42578125" style="11" customWidth="1"/>
    <col min="7441" max="7441" width="6.85546875" style="11" customWidth="1"/>
    <col min="7442" max="7442" width="7.7109375" style="11" customWidth="1"/>
    <col min="7443" max="7443" width="9.28515625" style="11" customWidth="1"/>
    <col min="7444" max="7444" width="14.85546875" style="11" customWidth="1"/>
    <col min="7445" max="7445" width="8.5703125" style="11" customWidth="1"/>
    <col min="7446" max="7446" width="7" style="11" customWidth="1"/>
    <col min="7447" max="7447" width="9.85546875" style="11" customWidth="1"/>
    <col min="7448" max="7448" width="10.85546875" style="11" customWidth="1"/>
    <col min="7449" max="7449" width="19.42578125" style="11" bestFit="1" customWidth="1"/>
    <col min="7450" max="7450" width="18.28515625" style="11" customWidth="1"/>
    <col min="7451" max="7452" width="15.7109375" style="11" bestFit="1" customWidth="1"/>
    <col min="7453" max="7453" width="51.42578125" style="11" customWidth="1"/>
    <col min="7454" max="7454" width="11.5703125" style="11" customWidth="1"/>
    <col min="7455" max="7455" width="46.42578125" style="11" bestFit="1" customWidth="1"/>
    <col min="7456" max="7456" width="35.5703125" style="11" customWidth="1"/>
    <col min="7457" max="7457" width="75.7109375" style="11" customWidth="1"/>
    <col min="7458" max="7458" width="12.85546875" style="11" bestFit="1" customWidth="1"/>
    <col min="7459" max="7459" width="13.28515625" style="11" bestFit="1" customWidth="1"/>
    <col min="7460" max="7460" width="14.28515625" style="11" bestFit="1" customWidth="1"/>
    <col min="7461" max="7462" width="10.7109375" style="11" bestFit="1" customWidth="1"/>
    <col min="7463" max="7463" width="26.140625" style="11" bestFit="1" customWidth="1"/>
    <col min="7464" max="7464" width="75.7109375" style="11" customWidth="1"/>
    <col min="7465" max="7465" width="9.7109375" style="11" bestFit="1" customWidth="1"/>
    <col min="7466" max="7680" width="9.140625" style="11"/>
    <col min="7681" max="7681" width="9.140625" style="11" customWidth="1"/>
    <col min="7682" max="7682" width="7.7109375" style="11" customWidth="1"/>
    <col min="7683" max="7683" width="17.140625" style="11" customWidth="1"/>
    <col min="7684" max="7684" width="15.5703125" style="11" customWidth="1"/>
    <col min="7685" max="7685" width="19.28515625" style="11" bestFit="1" customWidth="1"/>
    <col min="7686" max="7686" width="14.85546875" style="11" customWidth="1"/>
    <col min="7687" max="7687" width="20" style="11" customWidth="1"/>
    <col min="7688" max="7688" width="10.28515625" style="11" customWidth="1"/>
    <col min="7689" max="7689" width="11" style="11" bestFit="1" customWidth="1"/>
    <col min="7690" max="7690" width="11.28515625" style="11" customWidth="1"/>
    <col min="7691" max="7691" width="8" style="11" customWidth="1"/>
    <col min="7692" max="7692" width="11.7109375" style="11" customWidth="1"/>
    <col min="7693" max="7693" width="14.28515625" style="11" customWidth="1"/>
    <col min="7694" max="7694" width="7.5703125" style="11" customWidth="1"/>
    <col min="7695" max="7695" width="8.42578125" style="11" customWidth="1"/>
    <col min="7696" max="7696" width="77.42578125" style="11" customWidth="1"/>
    <col min="7697" max="7697" width="6.85546875" style="11" customWidth="1"/>
    <col min="7698" max="7698" width="7.7109375" style="11" customWidth="1"/>
    <col min="7699" max="7699" width="9.28515625" style="11" customWidth="1"/>
    <col min="7700" max="7700" width="14.85546875" style="11" customWidth="1"/>
    <col min="7701" max="7701" width="8.5703125" style="11" customWidth="1"/>
    <col min="7702" max="7702" width="7" style="11" customWidth="1"/>
    <col min="7703" max="7703" width="9.85546875" style="11" customWidth="1"/>
    <col min="7704" max="7704" width="10.85546875" style="11" customWidth="1"/>
    <col min="7705" max="7705" width="19.42578125" style="11" bestFit="1" customWidth="1"/>
    <col min="7706" max="7706" width="18.28515625" style="11" customWidth="1"/>
    <col min="7707" max="7708" width="15.7109375" style="11" bestFit="1" customWidth="1"/>
    <col min="7709" max="7709" width="51.42578125" style="11" customWidth="1"/>
    <col min="7710" max="7710" width="11.5703125" style="11" customWidth="1"/>
    <col min="7711" max="7711" width="46.42578125" style="11" bestFit="1" customWidth="1"/>
    <col min="7712" max="7712" width="35.5703125" style="11" customWidth="1"/>
    <col min="7713" max="7713" width="75.7109375" style="11" customWidth="1"/>
    <col min="7714" max="7714" width="12.85546875" style="11" bestFit="1" customWidth="1"/>
    <col min="7715" max="7715" width="13.28515625" style="11" bestFit="1" customWidth="1"/>
    <col min="7716" max="7716" width="14.28515625" style="11" bestFit="1" customWidth="1"/>
    <col min="7717" max="7718" width="10.7109375" style="11" bestFit="1" customWidth="1"/>
    <col min="7719" max="7719" width="26.140625" style="11" bestFit="1" customWidth="1"/>
    <col min="7720" max="7720" width="75.7109375" style="11" customWidth="1"/>
    <col min="7721" max="7721" width="9.7109375" style="11" bestFit="1" customWidth="1"/>
    <col min="7722" max="7936" width="9.140625" style="11"/>
    <col min="7937" max="7937" width="9.140625" style="11" customWidth="1"/>
    <col min="7938" max="7938" width="7.7109375" style="11" customWidth="1"/>
    <col min="7939" max="7939" width="17.140625" style="11" customWidth="1"/>
    <col min="7940" max="7940" width="15.5703125" style="11" customWidth="1"/>
    <col min="7941" max="7941" width="19.28515625" style="11" bestFit="1" customWidth="1"/>
    <col min="7942" max="7942" width="14.85546875" style="11" customWidth="1"/>
    <col min="7943" max="7943" width="20" style="11" customWidth="1"/>
    <col min="7944" max="7944" width="10.28515625" style="11" customWidth="1"/>
    <col min="7945" max="7945" width="11" style="11" bestFit="1" customWidth="1"/>
    <col min="7946" max="7946" width="11.28515625" style="11" customWidth="1"/>
    <col min="7947" max="7947" width="8" style="11" customWidth="1"/>
    <col min="7948" max="7948" width="11.7109375" style="11" customWidth="1"/>
    <col min="7949" max="7949" width="14.28515625" style="11" customWidth="1"/>
    <col min="7950" max="7950" width="7.5703125" style="11" customWidth="1"/>
    <col min="7951" max="7951" width="8.42578125" style="11" customWidth="1"/>
    <col min="7952" max="7952" width="77.42578125" style="11" customWidth="1"/>
    <col min="7953" max="7953" width="6.85546875" style="11" customWidth="1"/>
    <col min="7954" max="7954" width="7.7109375" style="11" customWidth="1"/>
    <col min="7955" max="7955" width="9.28515625" style="11" customWidth="1"/>
    <col min="7956" max="7956" width="14.85546875" style="11" customWidth="1"/>
    <col min="7957" max="7957" width="8.5703125" style="11" customWidth="1"/>
    <col min="7958" max="7958" width="7" style="11" customWidth="1"/>
    <col min="7959" max="7959" width="9.85546875" style="11" customWidth="1"/>
    <col min="7960" max="7960" width="10.85546875" style="11" customWidth="1"/>
    <col min="7961" max="7961" width="19.42578125" style="11" bestFit="1" customWidth="1"/>
    <col min="7962" max="7962" width="18.28515625" style="11" customWidth="1"/>
    <col min="7963" max="7964" width="15.7109375" style="11" bestFit="1" customWidth="1"/>
    <col min="7965" max="7965" width="51.42578125" style="11" customWidth="1"/>
    <col min="7966" max="7966" width="11.5703125" style="11" customWidth="1"/>
    <col min="7967" max="7967" width="46.42578125" style="11" bestFit="1" customWidth="1"/>
    <col min="7968" max="7968" width="35.5703125" style="11" customWidth="1"/>
    <col min="7969" max="7969" width="75.7109375" style="11" customWidth="1"/>
    <col min="7970" max="7970" width="12.85546875" style="11" bestFit="1" customWidth="1"/>
    <col min="7971" max="7971" width="13.28515625" style="11" bestFit="1" customWidth="1"/>
    <col min="7972" max="7972" width="14.28515625" style="11" bestFit="1" customWidth="1"/>
    <col min="7973" max="7974" width="10.7109375" style="11" bestFit="1" customWidth="1"/>
    <col min="7975" max="7975" width="26.140625" style="11" bestFit="1" customWidth="1"/>
    <col min="7976" max="7976" width="75.7109375" style="11" customWidth="1"/>
    <col min="7977" max="7977" width="9.7109375" style="11" bestFit="1" customWidth="1"/>
    <col min="7978" max="8192" width="9.140625" style="11"/>
    <col min="8193" max="8193" width="9.140625" style="11" customWidth="1"/>
    <col min="8194" max="8194" width="7.7109375" style="11" customWidth="1"/>
    <col min="8195" max="8195" width="17.140625" style="11" customWidth="1"/>
    <col min="8196" max="8196" width="15.5703125" style="11" customWidth="1"/>
    <col min="8197" max="8197" width="19.28515625" style="11" bestFit="1" customWidth="1"/>
    <col min="8198" max="8198" width="14.85546875" style="11" customWidth="1"/>
    <col min="8199" max="8199" width="20" style="11" customWidth="1"/>
    <col min="8200" max="8200" width="10.28515625" style="11" customWidth="1"/>
    <col min="8201" max="8201" width="11" style="11" bestFit="1" customWidth="1"/>
    <col min="8202" max="8202" width="11.28515625" style="11" customWidth="1"/>
    <col min="8203" max="8203" width="8" style="11" customWidth="1"/>
    <col min="8204" max="8204" width="11.7109375" style="11" customWidth="1"/>
    <col min="8205" max="8205" width="14.28515625" style="11" customWidth="1"/>
    <col min="8206" max="8206" width="7.5703125" style="11" customWidth="1"/>
    <col min="8207" max="8207" width="8.42578125" style="11" customWidth="1"/>
    <col min="8208" max="8208" width="77.42578125" style="11" customWidth="1"/>
    <col min="8209" max="8209" width="6.85546875" style="11" customWidth="1"/>
    <col min="8210" max="8210" width="7.7109375" style="11" customWidth="1"/>
    <col min="8211" max="8211" width="9.28515625" style="11" customWidth="1"/>
    <col min="8212" max="8212" width="14.85546875" style="11" customWidth="1"/>
    <col min="8213" max="8213" width="8.5703125" style="11" customWidth="1"/>
    <col min="8214" max="8214" width="7" style="11" customWidth="1"/>
    <col min="8215" max="8215" width="9.85546875" style="11" customWidth="1"/>
    <col min="8216" max="8216" width="10.85546875" style="11" customWidth="1"/>
    <col min="8217" max="8217" width="19.42578125" style="11" bestFit="1" customWidth="1"/>
    <col min="8218" max="8218" width="18.28515625" style="11" customWidth="1"/>
    <col min="8219" max="8220" width="15.7109375" style="11" bestFit="1" customWidth="1"/>
    <col min="8221" max="8221" width="51.42578125" style="11" customWidth="1"/>
    <col min="8222" max="8222" width="11.5703125" style="11" customWidth="1"/>
    <col min="8223" max="8223" width="46.42578125" style="11" bestFit="1" customWidth="1"/>
    <col min="8224" max="8224" width="35.5703125" style="11" customWidth="1"/>
    <col min="8225" max="8225" width="75.7109375" style="11" customWidth="1"/>
    <col min="8226" max="8226" width="12.85546875" style="11" bestFit="1" customWidth="1"/>
    <col min="8227" max="8227" width="13.28515625" style="11" bestFit="1" customWidth="1"/>
    <col min="8228" max="8228" width="14.28515625" style="11" bestFit="1" customWidth="1"/>
    <col min="8229" max="8230" width="10.7109375" style="11" bestFit="1" customWidth="1"/>
    <col min="8231" max="8231" width="26.140625" style="11" bestFit="1" customWidth="1"/>
    <col min="8232" max="8232" width="75.7109375" style="11" customWidth="1"/>
    <col min="8233" max="8233" width="9.7109375" style="11" bestFit="1" customWidth="1"/>
    <col min="8234" max="8448" width="9.140625" style="11"/>
    <col min="8449" max="8449" width="9.140625" style="11" customWidth="1"/>
    <col min="8450" max="8450" width="7.7109375" style="11" customWidth="1"/>
    <col min="8451" max="8451" width="17.140625" style="11" customWidth="1"/>
    <col min="8452" max="8452" width="15.5703125" style="11" customWidth="1"/>
    <col min="8453" max="8453" width="19.28515625" style="11" bestFit="1" customWidth="1"/>
    <col min="8454" max="8454" width="14.85546875" style="11" customWidth="1"/>
    <col min="8455" max="8455" width="20" style="11" customWidth="1"/>
    <col min="8456" max="8456" width="10.28515625" style="11" customWidth="1"/>
    <col min="8457" max="8457" width="11" style="11" bestFit="1" customWidth="1"/>
    <col min="8458" max="8458" width="11.28515625" style="11" customWidth="1"/>
    <col min="8459" max="8459" width="8" style="11" customWidth="1"/>
    <col min="8460" max="8460" width="11.7109375" style="11" customWidth="1"/>
    <col min="8461" max="8461" width="14.28515625" style="11" customWidth="1"/>
    <col min="8462" max="8462" width="7.5703125" style="11" customWidth="1"/>
    <col min="8463" max="8463" width="8.42578125" style="11" customWidth="1"/>
    <col min="8464" max="8464" width="77.42578125" style="11" customWidth="1"/>
    <col min="8465" max="8465" width="6.85546875" style="11" customWidth="1"/>
    <col min="8466" max="8466" width="7.7109375" style="11" customWidth="1"/>
    <col min="8467" max="8467" width="9.28515625" style="11" customWidth="1"/>
    <col min="8468" max="8468" width="14.85546875" style="11" customWidth="1"/>
    <col min="8469" max="8469" width="8.5703125" style="11" customWidth="1"/>
    <col min="8470" max="8470" width="7" style="11" customWidth="1"/>
    <col min="8471" max="8471" width="9.85546875" style="11" customWidth="1"/>
    <col min="8472" max="8472" width="10.85546875" style="11" customWidth="1"/>
    <col min="8473" max="8473" width="19.42578125" style="11" bestFit="1" customWidth="1"/>
    <col min="8474" max="8474" width="18.28515625" style="11" customWidth="1"/>
    <col min="8475" max="8476" width="15.7109375" style="11" bestFit="1" customWidth="1"/>
    <col min="8477" max="8477" width="51.42578125" style="11" customWidth="1"/>
    <col min="8478" max="8478" width="11.5703125" style="11" customWidth="1"/>
    <col min="8479" max="8479" width="46.42578125" style="11" bestFit="1" customWidth="1"/>
    <col min="8480" max="8480" width="35.5703125" style="11" customWidth="1"/>
    <col min="8481" max="8481" width="75.7109375" style="11" customWidth="1"/>
    <col min="8482" max="8482" width="12.85546875" style="11" bestFit="1" customWidth="1"/>
    <col min="8483" max="8483" width="13.28515625" style="11" bestFit="1" customWidth="1"/>
    <col min="8484" max="8484" width="14.28515625" style="11" bestFit="1" customWidth="1"/>
    <col min="8485" max="8486" width="10.7109375" style="11" bestFit="1" customWidth="1"/>
    <col min="8487" max="8487" width="26.140625" style="11" bestFit="1" customWidth="1"/>
    <col min="8488" max="8488" width="75.7109375" style="11" customWidth="1"/>
    <col min="8489" max="8489" width="9.7109375" style="11" bestFit="1" customWidth="1"/>
    <col min="8490" max="8704" width="9.140625" style="11"/>
    <col min="8705" max="8705" width="9.140625" style="11" customWidth="1"/>
    <col min="8706" max="8706" width="7.7109375" style="11" customWidth="1"/>
    <col min="8707" max="8707" width="17.140625" style="11" customWidth="1"/>
    <col min="8708" max="8708" width="15.5703125" style="11" customWidth="1"/>
    <col min="8709" max="8709" width="19.28515625" style="11" bestFit="1" customWidth="1"/>
    <col min="8710" max="8710" width="14.85546875" style="11" customWidth="1"/>
    <col min="8711" max="8711" width="20" style="11" customWidth="1"/>
    <col min="8712" max="8712" width="10.28515625" style="11" customWidth="1"/>
    <col min="8713" max="8713" width="11" style="11" bestFit="1" customWidth="1"/>
    <col min="8714" max="8714" width="11.28515625" style="11" customWidth="1"/>
    <col min="8715" max="8715" width="8" style="11" customWidth="1"/>
    <col min="8716" max="8716" width="11.7109375" style="11" customWidth="1"/>
    <col min="8717" max="8717" width="14.28515625" style="11" customWidth="1"/>
    <col min="8718" max="8718" width="7.5703125" style="11" customWidth="1"/>
    <col min="8719" max="8719" width="8.42578125" style="11" customWidth="1"/>
    <col min="8720" max="8720" width="77.42578125" style="11" customWidth="1"/>
    <col min="8721" max="8721" width="6.85546875" style="11" customWidth="1"/>
    <col min="8722" max="8722" width="7.7109375" style="11" customWidth="1"/>
    <col min="8723" max="8723" width="9.28515625" style="11" customWidth="1"/>
    <col min="8724" max="8724" width="14.85546875" style="11" customWidth="1"/>
    <col min="8725" max="8725" width="8.5703125" style="11" customWidth="1"/>
    <col min="8726" max="8726" width="7" style="11" customWidth="1"/>
    <col min="8727" max="8727" width="9.85546875" style="11" customWidth="1"/>
    <col min="8728" max="8728" width="10.85546875" style="11" customWidth="1"/>
    <col min="8729" max="8729" width="19.42578125" style="11" bestFit="1" customWidth="1"/>
    <col min="8730" max="8730" width="18.28515625" style="11" customWidth="1"/>
    <col min="8731" max="8732" width="15.7109375" style="11" bestFit="1" customWidth="1"/>
    <col min="8733" max="8733" width="51.42578125" style="11" customWidth="1"/>
    <col min="8734" max="8734" width="11.5703125" style="11" customWidth="1"/>
    <col min="8735" max="8735" width="46.42578125" style="11" bestFit="1" customWidth="1"/>
    <col min="8736" max="8736" width="35.5703125" style="11" customWidth="1"/>
    <col min="8737" max="8737" width="75.7109375" style="11" customWidth="1"/>
    <col min="8738" max="8738" width="12.85546875" style="11" bestFit="1" customWidth="1"/>
    <col min="8739" max="8739" width="13.28515625" style="11" bestFit="1" customWidth="1"/>
    <col min="8740" max="8740" width="14.28515625" style="11" bestFit="1" customWidth="1"/>
    <col min="8741" max="8742" width="10.7109375" style="11" bestFit="1" customWidth="1"/>
    <col min="8743" max="8743" width="26.140625" style="11" bestFit="1" customWidth="1"/>
    <col min="8744" max="8744" width="75.7109375" style="11" customWidth="1"/>
    <col min="8745" max="8745" width="9.7109375" style="11" bestFit="1" customWidth="1"/>
    <col min="8746" max="8960" width="9.140625" style="11"/>
    <col min="8961" max="8961" width="9.140625" style="11" customWidth="1"/>
    <col min="8962" max="8962" width="7.7109375" style="11" customWidth="1"/>
    <col min="8963" max="8963" width="17.140625" style="11" customWidth="1"/>
    <col min="8964" max="8964" width="15.5703125" style="11" customWidth="1"/>
    <col min="8965" max="8965" width="19.28515625" style="11" bestFit="1" customWidth="1"/>
    <col min="8966" max="8966" width="14.85546875" style="11" customWidth="1"/>
    <col min="8967" max="8967" width="20" style="11" customWidth="1"/>
    <col min="8968" max="8968" width="10.28515625" style="11" customWidth="1"/>
    <col min="8969" max="8969" width="11" style="11" bestFit="1" customWidth="1"/>
    <col min="8970" max="8970" width="11.28515625" style="11" customWidth="1"/>
    <col min="8971" max="8971" width="8" style="11" customWidth="1"/>
    <col min="8972" max="8972" width="11.7109375" style="11" customWidth="1"/>
    <col min="8973" max="8973" width="14.28515625" style="11" customWidth="1"/>
    <col min="8974" max="8974" width="7.5703125" style="11" customWidth="1"/>
    <col min="8975" max="8975" width="8.42578125" style="11" customWidth="1"/>
    <col min="8976" max="8976" width="77.42578125" style="11" customWidth="1"/>
    <col min="8977" max="8977" width="6.85546875" style="11" customWidth="1"/>
    <col min="8978" max="8978" width="7.7109375" style="11" customWidth="1"/>
    <col min="8979" max="8979" width="9.28515625" style="11" customWidth="1"/>
    <col min="8980" max="8980" width="14.85546875" style="11" customWidth="1"/>
    <col min="8981" max="8981" width="8.5703125" style="11" customWidth="1"/>
    <col min="8982" max="8982" width="7" style="11" customWidth="1"/>
    <col min="8983" max="8983" width="9.85546875" style="11" customWidth="1"/>
    <col min="8984" max="8984" width="10.85546875" style="11" customWidth="1"/>
    <col min="8985" max="8985" width="19.42578125" style="11" bestFit="1" customWidth="1"/>
    <col min="8986" max="8986" width="18.28515625" style="11" customWidth="1"/>
    <col min="8987" max="8988" width="15.7109375" style="11" bestFit="1" customWidth="1"/>
    <col min="8989" max="8989" width="51.42578125" style="11" customWidth="1"/>
    <col min="8990" max="8990" width="11.5703125" style="11" customWidth="1"/>
    <col min="8991" max="8991" width="46.42578125" style="11" bestFit="1" customWidth="1"/>
    <col min="8992" max="8992" width="35.5703125" style="11" customWidth="1"/>
    <col min="8993" max="8993" width="75.7109375" style="11" customWidth="1"/>
    <col min="8994" max="8994" width="12.85546875" style="11" bestFit="1" customWidth="1"/>
    <col min="8995" max="8995" width="13.28515625" style="11" bestFit="1" customWidth="1"/>
    <col min="8996" max="8996" width="14.28515625" style="11" bestFit="1" customWidth="1"/>
    <col min="8997" max="8998" width="10.7109375" style="11" bestFit="1" customWidth="1"/>
    <col min="8999" max="8999" width="26.140625" style="11" bestFit="1" customWidth="1"/>
    <col min="9000" max="9000" width="75.7109375" style="11" customWidth="1"/>
    <col min="9001" max="9001" width="9.7109375" style="11" bestFit="1" customWidth="1"/>
    <col min="9002" max="9216" width="9.140625" style="11"/>
    <col min="9217" max="9217" width="9.140625" style="11" customWidth="1"/>
    <col min="9218" max="9218" width="7.7109375" style="11" customWidth="1"/>
    <col min="9219" max="9219" width="17.140625" style="11" customWidth="1"/>
    <col min="9220" max="9220" width="15.5703125" style="11" customWidth="1"/>
    <col min="9221" max="9221" width="19.28515625" style="11" bestFit="1" customWidth="1"/>
    <col min="9222" max="9222" width="14.85546875" style="11" customWidth="1"/>
    <col min="9223" max="9223" width="20" style="11" customWidth="1"/>
    <col min="9224" max="9224" width="10.28515625" style="11" customWidth="1"/>
    <col min="9225" max="9225" width="11" style="11" bestFit="1" customWidth="1"/>
    <col min="9226" max="9226" width="11.28515625" style="11" customWidth="1"/>
    <col min="9227" max="9227" width="8" style="11" customWidth="1"/>
    <col min="9228" max="9228" width="11.7109375" style="11" customWidth="1"/>
    <col min="9229" max="9229" width="14.28515625" style="11" customWidth="1"/>
    <col min="9230" max="9230" width="7.5703125" style="11" customWidth="1"/>
    <col min="9231" max="9231" width="8.42578125" style="11" customWidth="1"/>
    <col min="9232" max="9232" width="77.42578125" style="11" customWidth="1"/>
    <col min="9233" max="9233" width="6.85546875" style="11" customWidth="1"/>
    <col min="9234" max="9234" width="7.7109375" style="11" customWidth="1"/>
    <col min="9235" max="9235" width="9.28515625" style="11" customWidth="1"/>
    <col min="9236" max="9236" width="14.85546875" style="11" customWidth="1"/>
    <col min="9237" max="9237" width="8.5703125" style="11" customWidth="1"/>
    <col min="9238" max="9238" width="7" style="11" customWidth="1"/>
    <col min="9239" max="9239" width="9.85546875" style="11" customWidth="1"/>
    <col min="9240" max="9240" width="10.85546875" style="11" customWidth="1"/>
    <col min="9241" max="9241" width="19.42578125" style="11" bestFit="1" customWidth="1"/>
    <col min="9242" max="9242" width="18.28515625" style="11" customWidth="1"/>
    <col min="9243" max="9244" width="15.7109375" style="11" bestFit="1" customWidth="1"/>
    <col min="9245" max="9245" width="51.42578125" style="11" customWidth="1"/>
    <col min="9246" max="9246" width="11.5703125" style="11" customWidth="1"/>
    <col min="9247" max="9247" width="46.42578125" style="11" bestFit="1" customWidth="1"/>
    <col min="9248" max="9248" width="35.5703125" style="11" customWidth="1"/>
    <col min="9249" max="9249" width="75.7109375" style="11" customWidth="1"/>
    <col min="9250" max="9250" width="12.85546875" style="11" bestFit="1" customWidth="1"/>
    <col min="9251" max="9251" width="13.28515625" style="11" bestFit="1" customWidth="1"/>
    <col min="9252" max="9252" width="14.28515625" style="11" bestFit="1" customWidth="1"/>
    <col min="9253" max="9254" width="10.7109375" style="11" bestFit="1" customWidth="1"/>
    <col min="9255" max="9255" width="26.140625" style="11" bestFit="1" customWidth="1"/>
    <col min="9256" max="9256" width="75.7109375" style="11" customWidth="1"/>
    <col min="9257" max="9257" width="9.7109375" style="11" bestFit="1" customWidth="1"/>
    <col min="9258" max="9472" width="9.140625" style="11"/>
    <col min="9473" max="9473" width="9.140625" style="11" customWidth="1"/>
    <col min="9474" max="9474" width="7.7109375" style="11" customWidth="1"/>
    <col min="9475" max="9475" width="17.140625" style="11" customWidth="1"/>
    <col min="9476" max="9476" width="15.5703125" style="11" customWidth="1"/>
    <col min="9477" max="9477" width="19.28515625" style="11" bestFit="1" customWidth="1"/>
    <col min="9478" max="9478" width="14.85546875" style="11" customWidth="1"/>
    <col min="9479" max="9479" width="20" style="11" customWidth="1"/>
    <col min="9480" max="9480" width="10.28515625" style="11" customWidth="1"/>
    <col min="9481" max="9481" width="11" style="11" bestFit="1" customWidth="1"/>
    <col min="9482" max="9482" width="11.28515625" style="11" customWidth="1"/>
    <col min="9483" max="9483" width="8" style="11" customWidth="1"/>
    <col min="9484" max="9484" width="11.7109375" style="11" customWidth="1"/>
    <col min="9485" max="9485" width="14.28515625" style="11" customWidth="1"/>
    <col min="9486" max="9486" width="7.5703125" style="11" customWidth="1"/>
    <col min="9487" max="9487" width="8.42578125" style="11" customWidth="1"/>
    <col min="9488" max="9488" width="77.42578125" style="11" customWidth="1"/>
    <col min="9489" max="9489" width="6.85546875" style="11" customWidth="1"/>
    <col min="9490" max="9490" width="7.7109375" style="11" customWidth="1"/>
    <col min="9491" max="9491" width="9.28515625" style="11" customWidth="1"/>
    <col min="9492" max="9492" width="14.85546875" style="11" customWidth="1"/>
    <col min="9493" max="9493" width="8.5703125" style="11" customWidth="1"/>
    <col min="9494" max="9494" width="7" style="11" customWidth="1"/>
    <col min="9495" max="9495" width="9.85546875" style="11" customWidth="1"/>
    <col min="9496" max="9496" width="10.85546875" style="11" customWidth="1"/>
    <col min="9497" max="9497" width="19.42578125" style="11" bestFit="1" customWidth="1"/>
    <col min="9498" max="9498" width="18.28515625" style="11" customWidth="1"/>
    <col min="9499" max="9500" width="15.7109375" style="11" bestFit="1" customWidth="1"/>
    <col min="9501" max="9501" width="51.42578125" style="11" customWidth="1"/>
    <col min="9502" max="9502" width="11.5703125" style="11" customWidth="1"/>
    <col min="9503" max="9503" width="46.42578125" style="11" bestFit="1" customWidth="1"/>
    <col min="9504" max="9504" width="35.5703125" style="11" customWidth="1"/>
    <col min="9505" max="9505" width="75.7109375" style="11" customWidth="1"/>
    <col min="9506" max="9506" width="12.85546875" style="11" bestFit="1" customWidth="1"/>
    <col min="9507" max="9507" width="13.28515625" style="11" bestFit="1" customWidth="1"/>
    <col min="9508" max="9508" width="14.28515625" style="11" bestFit="1" customWidth="1"/>
    <col min="9509" max="9510" width="10.7109375" style="11" bestFit="1" customWidth="1"/>
    <col min="9511" max="9511" width="26.140625" style="11" bestFit="1" customWidth="1"/>
    <col min="9512" max="9512" width="75.7109375" style="11" customWidth="1"/>
    <col min="9513" max="9513" width="9.7109375" style="11" bestFit="1" customWidth="1"/>
    <col min="9514" max="9728" width="9.140625" style="11"/>
    <col min="9729" max="9729" width="9.140625" style="11" customWidth="1"/>
    <col min="9730" max="9730" width="7.7109375" style="11" customWidth="1"/>
    <col min="9731" max="9731" width="17.140625" style="11" customWidth="1"/>
    <col min="9732" max="9732" width="15.5703125" style="11" customWidth="1"/>
    <col min="9733" max="9733" width="19.28515625" style="11" bestFit="1" customWidth="1"/>
    <col min="9734" max="9734" width="14.85546875" style="11" customWidth="1"/>
    <col min="9735" max="9735" width="20" style="11" customWidth="1"/>
    <col min="9736" max="9736" width="10.28515625" style="11" customWidth="1"/>
    <col min="9737" max="9737" width="11" style="11" bestFit="1" customWidth="1"/>
    <col min="9738" max="9738" width="11.28515625" style="11" customWidth="1"/>
    <col min="9739" max="9739" width="8" style="11" customWidth="1"/>
    <col min="9740" max="9740" width="11.7109375" style="11" customWidth="1"/>
    <col min="9741" max="9741" width="14.28515625" style="11" customWidth="1"/>
    <col min="9742" max="9742" width="7.5703125" style="11" customWidth="1"/>
    <col min="9743" max="9743" width="8.42578125" style="11" customWidth="1"/>
    <col min="9744" max="9744" width="77.42578125" style="11" customWidth="1"/>
    <col min="9745" max="9745" width="6.85546875" style="11" customWidth="1"/>
    <col min="9746" max="9746" width="7.7109375" style="11" customWidth="1"/>
    <col min="9747" max="9747" width="9.28515625" style="11" customWidth="1"/>
    <col min="9748" max="9748" width="14.85546875" style="11" customWidth="1"/>
    <col min="9749" max="9749" width="8.5703125" style="11" customWidth="1"/>
    <col min="9750" max="9750" width="7" style="11" customWidth="1"/>
    <col min="9751" max="9751" width="9.85546875" style="11" customWidth="1"/>
    <col min="9752" max="9752" width="10.85546875" style="11" customWidth="1"/>
    <col min="9753" max="9753" width="19.42578125" style="11" bestFit="1" customWidth="1"/>
    <col min="9754" max="9754" width="18.28515625" style="11" customWidth="1"/>
    <col min="9755" max="9756" width="15.7109375" style="11" bestFit="1" customWidth="1"/>
    <col min="9757" max="9757" width="51.42578125" style="11" customWidth="1"/>
    <col min="9758" max="9758" width="11.5703125" style="11" customWidth="1"/>
    <col min="9759" max="9759" width="46.42578125" style="11" bestFit="1" customWidth="1"/>
    <col min="9760" max="9760" width="35.5703125" style="11" customWidth="1"/>
    <col min="9761" max="9761" width="75.7109375" style="11" customWidth="1"/>
    <col min="9762" max="9762" width="12.85546875" style="11" bestFit="1" customWidth="1"/>
    <col min="9763" max="9763" width="13.28515625" style="11" bestFit="1" customWidth="1"/>
    <col min="9764" max="9764" width="14.28515625" style="11" bestFit="1" customWidth="1"/>
    <col min="9765" max="9766" width="10.7109375" style="11" bestFit="1" customWidth="1"/>
    <col min="9767" max="9767" width="26.140625" style="11" bestFit="1" customWidth="1"/>
    <col min="9768" max="9768" width="75.7109375" style="11" customWidth="1"/>
    <col min="9769" max="9769" width="9.7109375" style="11" bestFit="1" customWidth="1"/>
    <col min="9770" max="9984" width="9.140625" style="11"/>
    <col min="9985" max="9985" width="9.140625" style="11" customWidth="1"/>
    <col min="9986" max="9986" width="7.7109375" style="11" customWidth="1"/>
    <col min="9987" max="9987" width="17.140625" style="11" customWidth="1"/>
    <col min="9988" max="9988" width="15.5703125" style="11" customWidth="1"/>
    <col min="9989" max="9989" width="19.28515625" style="11" bestFit="1" customWidth="1"/>
    <col min="9990" max="9990" width="14.85546875" style="11" customWidth="1"/>
    <col min="9991" max="9991" width="20" style="11" customWidth="1"/>
    <col min="9992" max="9992" width="10.28515625" style="11" customWidth="1"/>
    <col min="9993" max="9993" width="11" style="11" bestFit="1" customWidth="1"/>
    <col min="9994" max="9994" width="11.28515625" style="11" customWidth="1"/>
    <col min="9995" max="9995" width="8" style="11" customWidth="1"/>
    <col min="9996" max="9996" width="11.7109375" style="11" customWidth="1"/>
    <col min="9997" max="9997" width="14.28515625" style="11" customWidth="1"/>
    <col min="9998" max="9998" width="7.5703125" style="11" customWidth="1"/>
    <col min="9999" max="9999" width="8.42578125" style="11" customWidth="1"/>
    <col min="10000" max="10000" width="77.42578125" style="11" customWidth="1"/>
    <col min="10001" max="10001" width="6.85546875" style="11" customWidth="1"/>
    <col min="10002" max="10002" width="7.7109375" style="11" customWidth="1"/>
    <col min="10003" max="10003" width="9.28515625" style="11" customWidth="1"/>
    <col min="10004" max="10004" width="14.85546875" style="11" customWidth="1"/>
    <col min="10005" max="10005" width="8.5703125" style="11" customWidth="1"/>
    <col min="10006" max="10006" width="7" style="11" customWidth="1"/>
    <col min="10007" max="10007" width="9.85546875" style="11" customWidth="1"/>
    <col min="10008" max="10008" width="10.85546875" style="11" customWidth="1"/>
    <col min="10009" max="10009" width="19.42578125" style="11" bestFit="1" customWidth="1"/>
    <col min="10010" max="10010" width="18.28515625" style="11" customWidth="1"/>
    <col min="10011" max="10012" width="15.7109375" style="11" bestFit="1" customWidth="1"/>
    <col min="10013" max="10013" width="51.42578125" style="11" customWidth="1"/>
    <col min="10014" max="10014" width="11.5703125" style="11" customWidth="1"/>
    <col min="10015" max="10015" width="46.42578125" style="11" bestFit="1" customWidth="1"/>
    <col min="10016" max="10016" width="35.5703125" style="11" customWidth="1"/>
    <col min="10017" max="10017" width="75.7109375" style="11" customWidth="1"/>
    <col min="10018" max="10018" width="12.85546875" style="11" bestFit="1" customWidth="1"/>
    <col min="10019" max="10019" width="13.28515625" style="11" bestFit="1" customWidth="1"/>
    <col min="10020" max="10020" width="14.28515625" style="11" bestFit="1" customWidth="1"/>
    <col min="10021" max="10022" width="10.7109375" style="11" bestFit="1" customWidth="1"/>
    <col min="10023" max="10023" width="26.140625" style="11" bestFit="1" customWidth="1"/>
    <col min="10024" max="10024" width="75.7109375" style="11" customWidth="1"/>
    <col min="10025" max="10025" width="9.7109375" style="11" bestFit="1" customWidth="1"/>
    <col min="10026" max="10240" width="9.140625" style="11"/>
    <col min="10241" max="10241" width="9.140625" style="11" customWidth="1"/>
    <col min="10242" max="10242" width="7.7109375" style="11" customWidth="1"/>
    <col min="10243" max="10243" width="17.140625" style="11" customWidth="1"/>
    <col min="10244" max="10244" width="15.5703125" style="11" customWidth="1"/>
    <col min="10245" max="10245" width="19.28515625" style="11" bestFit="1" customWidth="1"/>
    <col min="10246" max="10246" width="14.85546875" style="11" customWidth="1"/>
    <col min="10247" max="10247" width="20" style="11" customWidth="1"/>
    <col min="10248" max="10248" width="10.28515625" style="11" customWidth="1"/>
    <col min="10249" max="10249" width="11" style="11" bestFit="1" customWidth="1"/>
    <col min="10250" max="10250" width="11.28515625" style="11" customWidth="1"/>
    <col min="10251" max="10251" width="8" style="11" customWidth="1"/>
    <col min="10252" max="10252" width="11.7109375" style="11" customWidth="1"/>
    <col min="10253" max="10253" width="14.28515625" style="11" customWidth="1"/>
    <col min="10254" max="10254" width="7.5703125" style="11" customWidth="1"/>
    <col min="10255" max="10255" width="8.42578125" style="11" customWidth="1"/>
    <col min="10256" max="10256" width="77.42578125" style="11" customWidth="1"/>
    <col min="10257" max="10257" width="6.85546875" style="11" customWidth="1"/>
    <col min="10258" max="10258" width="7.7109375" style="11" customWidth="1"/>
    <col min="10259" max="10259" width="9.28515625" style="11" customWidth="1"/>
    <col min="10260" max="10260" width="14.85546875" style="11" customWidth="1"/>
    <col min="10261" max="10261" width="8.5703125" style="11" customWidth="1"/>
    <col min="10262" max="10262" width="7" style="11" customWidth="1"/>
    <col min="10263" max="10263" width="9.85546875" style="11" customWidth="1"/>
    <col min="10264" max="10264" width="10.85546875" style="11" customWidth="1"/>
    <col min="10265" max="10265" width="19.42578125" style="11" bestFit="1" customWidth="1"/>
    <col min="10266" max="10266" width="18.28515625" style="11" customWidth="1"/>
    <col min="10267" max="10268" width="15.7109375" style="11" bestFit="1" customWidth="1"/>
    <col min="10269" max="10269" width="51.42578125" style="11" customWidth="1"/>
    <col min="10270" max="10270" width="11.5703125" style="11" customWidth="1"/>
    <col min="10271" max="10271" width="46.42578125" style="11" bestFit="1" customWidth="1"/>
    <col min="10272" max="10272" width="35.5703125" style="11" customWidth="1"/>
    <col min="10273" max="10273" width="75.7109375" style="11" customWidth="1"/>
    <col min="10274" max="10274" width="12.85546875" style="11" bestFit="1" customWidth="1"/>
    <col min="10275" max="10275" width="13.28515625" style="11" bestFit="1" customWidth="1"/>
    <col min="10276" max="10276" width="14.28515625" style="11" bestFit="1" customWidth="1"/>
    <col min="10277" max="10278" width="10.7109375" style="11" bestFit="1" customWidth="1"/>
    <col min="10279" max="10279" width="26.140625" style="11" bestFit="1" customWidth="1"/>
    <col min="10280" max="10280" width="75.7109375" style="11" customWidth="1"/>
    <col min="10281" max="10281" width="9.7109375" style="11" bestFit="1" customWidth="1"/>
    <col min="10282" max="10496" width="9.140625" style="11"/>
    <col min="10497" max="10497" width="9.140625" style="11" customWidth="1"/>
    <col min="10498" max="10498" width="7.7109375" style="11" customWidth="1"/>
    <col min="10499" max="10499" width="17.140625" style="11" customWidth="1"/>
    <col min="10500" max="10500" width="15.5703125" style="11" customWidth="1"/>
    <col min="10501" max="10501" width="19.28515625" style="11" bestFit="1" customWidth="1"/>
    <col min="10502" max="10502" width="14.85546875" style="11" customWidth="1"/>
    <col min="10503" max="10503" width="20" style="11" customWidth="1"/>
    <col min="10504" max="10504" width="10.28515625" style="11" customWidth="1"/>
    <col min="10505" max="10505" width="11" style="11" bestFit="1" customWidth="1"/>
    <col min="10506" max="10506" width="11.28515625" style="11" customWidth="1"/>
    <col min="10507" max="10507" width="8" style="11" customWidth="1"/>
    <col min="10508" max="10508" width="11.7109375" style="11" customWidth="1"/>
    <col min="10509" max="10509" width="14.28515625" style="11" customWidth="1"/>
    <col min="10510" max="10510" width="7.5703125" style="11" customWidth="1"/>
    <col min="10511" max="10511" width="8.42578125" style="11" customWidth="1"/>
    <col min="10512" max="10512" width="77.42578125" style="11" customWidth="1"/>
    <col min="10513" max="10513" width="6.85546875" style="11" customWidth="1"/>
    <col min="10514" max="10514" width="7.7109375" style="11" customWidth="1"/>
    <col min="10515" max="10515" width="9.28515625" style="11" customWidth="1"/>
    <col min="10516" max="10516" width="14.85546875" style="11" customWidth="1"/>
    <col min="10517" max="10517" width="8.5703125" style="11" customWidth="1"/>
    <col min="10518" max="10518" width="7" style="11" customWidth="1"/>
    <col min="10519" max="10519" width="9.85546875" style="11" customWidth="1"/>
    <col min="10520" max="10520" width="10.85546875" style="11" customWidth="1"/>
    <col min="10521" max="10521" width="19.42578125" style="11" bestFit="1" customWidth="1"/>
    <col min="10522" max="10522" width="18.28515625" style="11" customWidth="1"/>
    <col min="10523" max="10524" width="15.7109375" style="11" bestFit="1" customWidth="1"/>
    <col min="10525" max="10525" width="51.42578125" style="11" customWidth="1"/>
    <col min="10526" max="10526" width="11.5703125" style="11" customWidth="1"/>
    <col min="10527" max="10527" width="46.42578125" style="11" bestFit="1" customWidth="1"/>
    <col min="10528" max="10528" width="35.5703125" style="11" customWidth="1"/>
    <col min="10529" max="10529" width="75.7109375" style="11" customWidth="1"/>
    <col min="10530" max="10530" width="12.85546875" style="11" bestFit="1" customWidth="1"/>
    <col min="10531" max="10531" width="13.28515625" style="11" bestFit="1" customWidth="1"/>
    <col min="10532" max="10532" width="14.28515625" style="11" bestFit="1" customWidth="1"/>
    <col min="10533" max="10534" width="10.7109375" style="11" bestFit="1" customWidth="1"/>
    <col min="10535" max="10535" width="26.140625" style="11" bestFit="1" customWidth="1"/>
    <col min="10536" max="10536" width="75.7109375" style="11" customWidth="1"/>
    <col min="10537" max="10537" width="9.7109375" style="11" bestFit="1" customWidth="1"/>
    <col min="10538" max="10752" width="9.140625" style="11"/>
    <col min="10753" max="10753" width="9.140625" style="11" customWidth="1"/>
    <col min="10754" max="10754" width="7.7109375" style="11" customWidth="1"/>
    <col min="10755" max="10755" width="17.140625" style="11" customWidth="1"/>
    <col min="10756" max="10756" width="15.5703125" style="11" customWidth="1"/>
    <col min="10757" max="10757" width="19.28515625" style="11" bestFit="1" customWidth="1"/>
    <col min="10758" max="10758" width="14.85546875" style="11" customWidth="1"/>
    <col min="10759" max="10759" width="20" style="11" customWidth="1"/>
    <col min="10760" max="10760" width="10.28515625" style="11" customWidth="1"/>
    <col min="10761" max="10761" width="11" style="11" bestFit="1" customWidth="1"/>
    <col min="10762" max="10762" width="11.28515625" style="11" customWidth="1"/>
    <col min="10763" max="10763" width="8" style="11" customWidth="1"/>
    <col min="10764" max="10764" width="11.7109375" style="11" customWidth="1"/>
    <col min="10765" max="10765" width="14.28515625" style="11" customWidth="1"/>
    <col min="10766" max="10766" width="7.5703125" style="11" customWidth="1"/>
    <col min="10767" max="10767" width="8.42578125" style="11" customWidth="1"/>
    <col min="10768" max="10768" width="77.42578125" style="11" customWidth="1"/>
    <col min="10769" max="10769" width="6.85546875" style="11" customWidth="1"/>
    <col min="10770" max="10770" width="7.7109375" style="11" customWidth="1"/>
    <col min="10771" max="10771" width="9.28515625" style="11" customWidth="1"/>
    <col min="10772" max="10772" width="14.85546875" style="11" customWidth="1"/>
    <col min="10773" max="10773" width="8.5703125" style="11" customWidth="1"/>
    <col min="10774" max="10774" width="7" style="11" customWidth="1"/>
    <col min="10775" max="10775" width="9.85546875" style="11" customWidth="1"/>
    <col min="10776" max="10776" width="10.85546875" style="11" customWidth="1"/>
    <col min="10777" max="10777" width="19.42578125" style="11" bestFit="1" customWidth="1"/>
    <col min="10778" max="10778" width="18.28515625" style="11" customWidth="1"/>
    <col min="10779" max="10780" width="15.7109375" style="11" bestFit="1" customWidth="1"/>
    <col min="10781" max="10781" width="51.42578125" style="11" customWidth="1"/>
    <col min="10782" max="10782" width="11.5703125" style="11" customWidth="1"/>
    <col min="10783" max="10783" width="46.42578125" style="11" bestFit="1" customWidth="1"/>
    <col min="10784" max="10784" width="35.5703125" style="11" customWidth="1"/>
    <col min="10785" max="10785" width="75.7109375" style="11" customWidth="1"/>
    <col min="10786" max="10786" width="12.85546875" style="11" bestFit="1" customWidth="1"/>
    <col min="10787" max="10787" width="13.28515625" style="11" bestFit="1" customWidth="1"/>
    <col min="10788" max="10788" width="14.28515625" style="11" bestFit="1" customWidth="1"/>
    <col min="10789" max="10790" width="10.7109375" style="11" bestFit="1" customWidth="1"/>
    <col min="10791" max="10791" width="26.140625" style="11" bestFit="1" customWidth="1"/>
    <col min="10792" max="10792" width="75.7109375" style="11" customWidth="1"/>
    <col min="10793" max="10793" width="9.7109375" style="11" bestFit="1" customWidth="1"/>
    <col min="10794" max="11008" width="9.140625" style="11"/>
    <col min="11009" max="11009" width="9.140625" style="11" customWidth="1"/>
    <col min="11010" max="11010" width="7.7109375" style="11" customWidth="1"/>
    <col min="11011" max="11011" width="17.140625" style="11" customWidth="1"/>
    <col min="11012" max="11012" width="15.5703125" style="11" customWidth="1"/>
    <col min="11013" max="11013" width="19.28515625" style="11" bestFit="1" customWidth="1"/>
    <col min="11014" max="11014" width="14.85546875" style="11" customWidth="1"/>
    <col min="11015" max="11015" width="20" style="11" customWidth="1"/>
    <col min="11016" max="11016" width="10.28515625" style="11" customWidth="1"/>
    <col min="11017" max="11017" width="11" style="11" bestFit="1" customWidth="1"/>
    <col min="11018" max="11018" width="11.28515625" style="11" customWidth="1"/>
    <col min="11019" max="11019" width="8" style="11" customWidth="1"/>
    <col min="11020" max="11020" width="11.7109375" style="11" customWidth="1"/>
    <col min="11021" max="11021" width="14.28515625" style="11" customWidth="1"/>
    <col min="11022" max="11022" width="7.5703125" style="11" customWidth="1"/>
    <col min="11023" max="11023" width="8.42578125" style="11" customWidth="1"/>
    <col min="11024" max="11024" width="77.42578125" style="11" customWidth="1"/>
    <col min="11025" max="11025" width="6.85546875" style="11" customWidth="1"/>
    <col min="11026" max="11026" width="7.7109375" style="11" customWidth="1"/>
    <col min="11027" max="11027" width="9.28515625" style="11" customWidth="1"/>
    <col min="11028" max="11028" width="14.85546875" style="11" customWidth="1"/>
    <col min="11029" max="11029" width="8.5703125" style="11" customWidth="1"/>
    <col min="11030" max="11030" width="7" style="11" customWidth="1"/>
    <col min="11031" max="11031" width="9.85546875" style="11" customWidth="1"/>
    <col min="11032" max="11032" width="10.85546875" style="11" customWidth="1"/>
    <col min="11033" max="11033" width="19.42578125" style="11" bestFit="1" customWidth="1"/>
    <col min="11034" max="11034" width="18.28515625" style="11" customWidth="1"/>
    <col min="11035" max="11036" width="15.7109375" style="11" bestFit="1" customWidth="1"/>
    <col min="11037" max="11037" width="51.42578125" style="11" customWidth="1"/>
    <col min="11038" max="11038" width="11.5703125" style="11" customWidth="1"/>
    <col min="11039" max="11039" width="46.42578125" style="11" bestFit="1" customWidth="1"/>
    <col min="11040" max="11040" width="35.5703125" style="11" customWidth="1"/>
    <col min="11041" max="11041" width="75.7109375" style="11" customWidth="1"/>
    <col min="11042" max="11042" width="12.85546875" style="11" bestFit="1" customWidth="1"/>
    <col min="11043" max="11043" width="13.28515625" style="11" bestFit="1" customWidth="1"/>
    <col min="11044" max="11044" width="14.28515625" style="11" bestFit="1" customWidth="1"/>
    <col min="11045" max="11046" width="10.7109375" style="11" bestFit="1" customWidth="1"/>
    <col min="11047" max="11047" width="26.140625" style="11" bestFit="1" customWidth="1"/>
    <col min="11048" max="11048" width="75.7109375" style="11" customWidth="1"/>
    <col min="11049" max="11049" width="9.7109375" style="11" bestFit="1" customWidth="1"/>
    <col min="11050" max="11264" width="9.140625" style="11"/>
    <col min="11265" max="11265" width="9.140625" style="11" customWidth="1"/>
    <col min="11266" max="11266" width="7.7109375" style="11" customWidth="1"/>
    <col min="11267" max="11267" width="17.140625" style="11" customWidth="1"/>
    <col min="11268" max="11268" width="15.5703125" style="11" customWidth="1"/>
    <col min="11269" max="11269" width="19.28515625" style="11" bestFit="1" customWidth="1"/>
    <col min="11270" max="11270" width="14.85546875" style="11" customWidth="1"/>
    <col min="11271" max="11271" width="20" style="11" customWidth="1"/>
    <col min="11272" max="11272" width="10.28515625" style="11" customWidth="1"/>
    <col min="11273" max="11273" width="11" style="11" bestFit="1" customWidth="1"/>
    <col min="11274" max="11274" width="11.28515625" style="11" customWidth="1"/>
    <col min="11275" max="11275" width="8" style="11" customWidth="1"/>
    <col min="11276" max="11276" width="11.7109375" style="11" customWidth="1"/>
    <col min="11277" max="11277" width="14.28515625" style="11" customWidth="1"/>
    <col min="11278" max="11278" width="7.5703125" style="11" customWidth="1"/>
    <col min="11279" max="11279" width="8.42578125" style="11" customWidth="1"/>
    <col min="11280" max="11280" width="77.42578125" style="11" customWidth="1"/>
    <col min="11281" max="11281" width="6.85546875" style="11" customWidth="1"/>
    <col min="11282" max="11282" width="7.7109375" style="11" customWidth="1"/>
    <col min="11283" max="11283" width="9.28515625" style="11" customWidth="1"/>
    <col min="11284" max="11284" width="14.85546875" style="11" customWidth="1"/>
    <col min="11285" max="11285" width="8.5703125" style="11" customWidth="1"/>
    <col min="11286" max="11286" width="7" style="11" customWidth="1"/>
    <col min="11287" max="11287" width="9.85546875" style="11" customWidth="1"/>
    <col min="11288" max="11288" width="10.85546875" style="11" customWidth="1"/>
    <col min="11289" max="11289" width="19.42578125" style="11" bestFit="1" customWidth="1"/>
    <col min="11290" max="11290" width="18.28515625" style="11" customWidth="1"/>
    <col min="11291" max="11292" width="15.7109375" style="11" bestFit="1" customWidth="1"/>
    <col min="11293" max="11293" width="51.42578125" style="11" customWidth="1"/>
    <col min="11294" max="11294" width="11.5703125" style="11" customWidth="1"/>
    <col min="11295" max="11295" width="46.42578125" style="11" bestFit="1" customWidth="1"/>
    <col min="11296" max="11296" width="35.5703125" style="11" customWidth="1"/>
    <col min="11297" max="11297" width="75.7109375" style="11" customWidth="1"/>
    <col min="11298" max="11298" width="12.85546875" style="11" bestFit="1" customWidth="1"/>
    <col min="11299" max="11299" width="13.28515625" style="11" bestFit="1" customWidth="1"/>
    <col min="11300" max="11300" width="14.28515625" style="11" bestFit="1" customWidth="1"/>
    <col min="11301" max="11302" width="10.7109375" style="11" bestFit="1" customWidth="1"/>
    <col min="11303" max="11303" width="26.140625" style="11" bestFit="1" customWidth="1"/>
    <col min="11304" max="11304" width="75.7109375" style="11" customWidth="1"/>
    <col min="11305" max="11305" width="9.7109375" style="11" bestFit="1" customWidth="1"/>
    <col min="11306" max="11520" width="9.140625" style="11"/>
    <col min="11521" max="11521" width="9.140625" style="11" customWidth="1"/>
    <col min="11522" max="11522" width="7.7109375" style="11" customWidth="1"/>
    <col min="11523" max="11523" width="17.140625" style="11" customWidth="1"/>
    <col min="11524" max="11524" width="15.5703125" style="11" customWidth="1"/>
    <col min="11525" max="11525" width="19.28515625" style="11" bestFit="1" customWidth="1"/>
    <col min="11526" max="11526" width="14.85546875" style="11" customWidth="1"/>
    <col min="11527" max="11527" width="20" style="11" customWidth="1"/>
    <col min="11528" max="11528" width="10.28515625" style="11" customWidth="1"/>
    <col min="11529" max="11529" width="11" style="11" bestFit="1" customWidth="1"/>
    <col min="11530" max="11530" width="11.28515625" style="11" customWidth="1"/>
    <col min="11531" max="11531" width="8" style="11" customWidth="1"/>
    <col min="11532" max="11532" width="11.7109375" style="11" customWidth="1"/>
    <col min="11533" max="11533" width="14.28515625" style="11" customWidth="1"/>
    <col min="11534" max="11534" width="7.5703125" style="11" customWidth="1"/>
    <col min="11535" max="11535" width="8.42578125" style="11" customWidth="1"/>
    <col min="11536" max="11536" width="77.42578125" style="11" customWidth="1"/>
    <col min="11537" max="11537" width="6.85546875" style="11" customWidth="1"/>
    <col min="11538" max="11538" width="7.7109375" style="11" customWidth="1"/>
    <col min="11539" max="11539" width="9.28515625" style="11" customWidth="1"/>
    <col min="11540" max="11540" width="14.85546875" style="11" customWidth="1"/>
    <col min="11541" max="11541" width="8.5703125" style="11" customWidth="1"/>
    <col min="11542" max="11542" width="7" style="11" customWidth="1"/>
    <col min="11543" max="11543" width="9.85546875" style="11" customWidth="1"/>
    <col min="11544" max="11544" width="10.85546875" style="11" customWidth="1"/>
    <col min="11545" max="11545" width="19.42578125" style="11" bestFit="1" customWidth="1"/>
    <col min="11546" max="11546" width="18.28515625" style="11" customWidth="1"/>
    <col min="11547" max="11548" width="15.7109375" style="11" bestFit="1" customWidth="1"/>
    <col min="11549" max="11549" width="51.42578125" style="11" customWidth="1"/>
    <col min="11550" max="11550" width="11.5703125" style="11" customWidth="1"/>
    <col min="11551" max="11551" width="46.42578125" style="11" bestFit="1" customWidth="1"/>
    <col min="11552" max="11552" width="35.5703125" style="11" customWidth="1"/>
    <col min="11553" max="11553" width="75.7109375" style="11" customWidth="1"/>
    <col min="11554" max="11554" width="12.85546875" style="11" bestFit="1" customWidth="1"/>
    <col min="11555" max="11555" width="13.28515625" style="11" bestFit="1" customWidth="1"/>
    <col min="11556" max="11556" width="14.28515625" style="11" bestFit="1" customWidth="1"/>
    <col min="11557" max="11558" width="10.7109375" style="11" bestFit="1" customWidth="1"/>
    <col min="11559" max="11559" width="26.140625" style="11" bestFit="1" customWidth="1"/>
    <col min="11560" max="11560" width="75.7109375" style="11" customWidth="1"/>
    <col min="11561" max="11561" width="9.7109375" style="11" bestFit="1" customWidth="1"/>
    <col min="11562" max="11776" width="9.140625" style="11"/>
    <col min="11777" max="11777" width="9.140625" style="11" customWidth="1"/>
    <col min="11778" max="11778" width="7.7109375" style="11" customWidth="1"/>
    <col min="11779" max="11779" width="17.140625" style="11" customWidth="1"/>
    <col min="11780" max="11780" width="15.5703125" style="11" customWidth="1"/>
    <col min="11781" max="11781" width="19.28515625" style="11" bestFit="1" customWidth="1"/>
    <col min="11782" max="11782" width="14.85546875" style="11" customWidth="1"/>
    <col min="11783" max="11783" width="20" style="11" customWidth="1"/>
    <col min="11784" max="11784" width="10.28515625" style="11" customWidth="1"/>
    <col min="11785" max="11785" width="11" style="11" bestFit="1" customWidth="1"/>
    <col min="11786" max="11786" width="11.28515625" style="11" customWidth="1"/>
    <col min="11787" max="11787" width="8" style="11" customWidth="1"/>
    <col min="11788" max="11788" width="11.7109375" style="11" customWidth="1"/>
    <col min="11789" max="11789" width="14.28515625" style="11" customWidth="1"/>
    <col min="11790" max="11790" width="7.5703125" style="11" customWidth="1"/>
    <col min="11791" max="11791" width="8.42578125" style="11" customWidth="1"/>
    <col min="11792" max="11792" width="77.42578125" style="11" customWidth="1"/>
    <col min="11793" max="11793" width="6.85546875" style="11" customWidth="1"/>
    <col min="11794" max="11794" width="7.7109375" style="11" customWidth="1"/>
    <col min="11795" max="11795" width="9.28515625" style="11" customWidth="1"/>
    <col min="11796" max="11796" width="14.85546875" style="11" customWidth="1"/>
    <col min="11797" max="11797" width="8.5703125" style="11" customWidth="1"/>
    <col min="11798" max="11798" width="7" style="11" customWidth="1"/>
    <col min="11799" max="11799" width="9.85546875" style="11" customWidth="1"/>
    <col min="11800" max="11800" width="10.85546875" style="11" customWidth="1"/>
    <col min="11801" max="11801" width="19.42578125" style="11" bestFit="1" customWidth="1"/>
    <col min="11802" max="11802" width="18.28515625" style="11" customWidth="1"/>
    <col min="11803" max="11804" width="15.7109375" style="11" bestFit="1" customWidth="1"/>
    <col min="11805" max="11805" width="51.42578125" style="11" customWidth="1"/>
    <col min="11806" max="11806" width="11.5703125" style="11" customWidth="1"/>
    <col min="11807" max="11807" width="46.42578125" style="11" bestFit="1" customWidth="1"/>
    <col min="11808" max="11808" width="35.5703125" style="11" customWidth="1"/>
    <col min="11809" max="11809" width="75.7109375" style="11" customWidth="1"/>
    <col min="11810" max="11810" width="12.85546875" style="11" bestFit="1" customWidth="1"/>
    <col min="11811" max="11811" width="13.28515625" style="11" bestFit="1" customWidth="1"/>
    <col min="11812" max="11812" width="14.28515625" style="11" bestFit="1" customWidth="1"/>
    <col min="11813" max="11814" width="10.7109375" style="11" bestFit="1" customWidth="1"/>
    <col min="11815" max="11815" width="26.140625" style="11" bestFit="1" customWidth="1"/>
    <col min="11816" max="11816" width="75.7109375" style="11" customWidth="1"/>
    <col min="11817" max="11817" width="9.7109375" style="11" bestFit="1" customWidth="1"/>
    <col min="11818" max="12032" width="9.140625" style="11"/>
    <col min="12033" max="12033" width="9.140625" style="11" customWidth="1"/>
    <col min="12034" max="12034" width="7.7109375" style="11" customWidth="1"/>
    <col min="12035" max="12035" width="17.140625" style="11" customWidth="1"/>
    <col min="12036" max="12036" width="15.5703125" style="11" customWidth="1"/>
    <col min="12037" max="12037" width="19.28515625" style="11" bestFit="1" customWidth="1"/>
    <col min="12038" max="12038" width="14.85546875" style="11" customWidth="1"/>
    <col min="12039" max="12039" width="20" style="11" customWidth="1"/>
    <col min="12040" max="12040" width="10.28515625" style="11" customWidth="1"/>
    <col min="12041" max="12041" width="11" style="11" bestFit="1" customWidth="1"/>
    <col min="12042" max="12042" width="11.28515625" style="11" customWidth="1"/>
    <col min="12043" max="12043" width="8" style="11" customWidth="1"/>
    <col min="12044" max="12044" width="11.7109375" style="11" customWidth="1"/>
    <col min="12045" max="12045" width="14.28515625" style="11" customWidth="1"/>
    <col min="12046" max="12046" width="7.5703125" style="11" customWidth="1"/>
    <col min="12047" max="12047" width="8.42578125" style="11" customWidth="1"/>
    <col min="12048" max="12048" width="77.42578125" style="11" customWidth="1"/>
    <col min="12049" max="12049" width="6.85546875" style="11" customWidth="1"/>
    <col min="12050" max="12050" width="7.7109375" style="11" customWidth="1"/>
    <col min="12051" max="12051" width="9.28515625" style="11" customWidth="1"/>
    <col min="12052" max="12052" width="14.85546875" style="11" customWidth="1"/>
    <col min="12053" max="12053" width="8.5703125" style="11" customWidth="1"/>
    <col min="12054" max="12054" width="7" style="11" customWidth="1"/>
    <col min="12055" max="12055" width="9.85546875" style="11" customWidth="1"/>
    <col min="12056" max="12056" width="10.85546875" style="11" customWidth="1"/>
    <col min="12057" max="12057" width="19.42578125" style="11" bestFit="1" customWidth="1"/>
    <col min="12058" max="12058" width="18.28515625" style="11" customWidth="1"/>
    <col min="12059" max="12060" width="15.7109375" style="11" bestFit="1" customWidth="1"/>
    <col min="12061" max="12061" width="51.42578125" style="11" customWidth="1"/>
    <col min="12062" max="12062" width="11.5703125" style="11" customWidth="1"/>
    <col min="12063" max="12063" width="46.42578125" style="11" bestFit="1" customWidth="1"/>
    <col min="12064" max="12064" width="35.5703125" style="11" customWidth="1"/>
    <col min="12065" max="12065" width="75.7109375" style="11" customWidth="1"/>
    <col min="12066" max="12066" width="12.85546875" style="11" bestFit="1" customWidth="1"/>
    <col min="12067" max="12067" width="13.28515625" style="11" bestFit="1" customWidth="1"/>
    <col min="12068" max="12068" width="14.28515625" style="11" bestFit="1" customWidth="1"/>
    <col min="12069" max="12070" width="10.7109375" style="11" bestFit="1" customWidth="1"/>
    <col min="12071" max="12071" width="26.140625" style="11" bestFit="1" customWidth="1"/>
    <col min="12072" max="12072" width="75.7109375" style="11" customWidth="1"/>
    <col min="12073" max="12073" width="9.7109375" style="11" bestFit="1" customWidth="1"/>
    <col min="12074" max="12288" width="9.140625" style="11"/>
    <col min="12289" max="12289" width="9.140625" style="11" customWidth="1"/>
    <col min="12290" max="12290" width="7.7109375" style="11" customWidth="1"/>
    <col min="12291" max="12291" width="17.140625" style="11" customWidth="1"/>
    <col min="12292" max="12292" width="15.5703125" style="11" customWidth="1"/>
    <col min="12293" max="12293" width="19.28515625" style="11" bestFit="1" customWidth="1"/>
    <col min="12294" max="12294" width="14.85546875" style="11" customWidth="1"/>
    <col min="12295" max="12295" width="20" style="11" customWidth="1"/>
    <col min="12296" max="12296" width="10.28515625" style="11" customWidth="1"/>
    <col min="12297" max="12297" width="11" style="11" bestFit="1" customWidth="1"/>
    <col min="12298" max="12298" width="11.28515625" style="11" customWidth="1"/>
    <col min="12299" max="12299" width="8" style="11" customWidth="1"/>
    <col min="12300" max="12300" width="11.7109375" style="11" customWidth="1"/>
    <col min="12301" max="12301" width="14.28515625" style="11" customWidth="1"/>
    <col min="12302" max="12302" width="7.5703125" style="11" customWidth="1"/>
    <col min="12303" max="12303" width="8.42578125" style="11" customWidth="1"/>
    <col min="12304" max="12304" width="77.42578125" style="11" customWidth="1"/>
    <col min="12305" max="12305" width="6.85546875" style="11" customWidth="1"/>
    <col min="12306" max="12306" width="7.7109375" style="11" customWidth="1"/>
    <col min="12307" max="12307" width="9.28515625" style="11" customWidth="1"/>
    <col min="12308" max="12308" width="14.85546875" style="11" customWidth="1"/>
    <col min="12309" max="12309" width="8.5703125" style="11" customWidth="1"/>
    <col min="12310" max="12310" width="7" style="11" customWidth="1"/>
    <col min="12311" max="12311" width="9.85546875" style="11" customWidth="1"/>
    <col min="12312" max="12312" width="10.85546875" style="11" customWidth="1"/>
    <col min="12313" max="12313" width="19.42578125" style="11" bestFit="1" customWidth="1"/>
    <col min="12314" max="12314" width="18.28515625" style="11" customWidth="1"/>
    <col min="12315" max="12316" width="15.7109375" style="11" bestFit="1" customWidth="1"/>
    <col min="12317" max="12317" width="51.42578125" style="11" customWidth="1"/>
    <col min="12318" max="12318" width="11.5703125" style="11" customWidth="1"/>
    <col min="12319" max="12319" width="46.42578125" style="11" bestFit="1" customWidth="1"/>
    <col min="12320" max="12320" width="35.5703125" style="11" customWidth="1"/>
    <col min="12321" max="12321" width="75.7109375" style="11" customWidth="1"/>
    <col min="12322" max="12322" width="12.85546875" style="11" bestFit="1" customWidth="1"/>
    <col min="12323" max="12323" width="13.28515625" style="11" bestFit="1" customWidth="1"/>
    <col min="12324" max="12324" width="14.28515625" style="11" bestFit="1" customWidth="1"/>
    <col min="12325" max="12326" width="10.7109375" style="11" bestFit="1" customWidth="1"/>
    <col min="12327" max="12327" width="26.140625" style="11" bestFit="1" customWidth="1"/>
    <col min="12328" max="12328" width="75.7109375" style="11" customWidth="1"/>
    <col min="12329" max="12329" width="9.7109375" style="11" bestFit="1" customWidth="1"/>
    <col min="12330" max="12544" width="9.140625" style="11"/>
    <col min="12545" max="12545" width="9.140625" style="11" customWidth="1"/>
    <col min="12546" max="12546" width="7.7109375" style="11" customWidth="1"/>
    <col min="12547" max="12547" width="17.140625" style="11" customWidth="1"/>
    <col min="12548" max="12548" width="15.5703125" style="11" customWidth="1"/>
    <col min="12549" max="12549" width="19.28515625" style="11" bestFit="1" customWidth="1"/>
    <col min="12550" max="12550" width="14.85546875" style="11" customWidth="1"/>
    <col min="12551" max="12551" width="20" style="11" customWidth="1"/>
    <col min="12552" max="12552" width="10.28515625" style="11" customWidth="1"/>
    <col min="12553" max="12553" width="11" style="11" bestFit="1" customWidth="1"/>
    <col min="12554" max="12554" width="11.28515625" style="11" customWidth="1"/>
    <col min="12555" max="12555" width="8" style="11" customWidth="1"/>
    <col min="12556" max="12556" width="11.7109375" style="11" customWidth="1"/>
    <col min="12557" max="12557" width="14.28515625" style="11" customWidth="1"/>
    <col min="12558" max="12558" width="7.5703125" style="11" customWidth="1"/>
    <col min="12559" max="12559" width="8.42578125" style="11" customWidth="1"/>
    <col min="12560" max="12560" width="77.42578125" style="11" customWidth="1"/>
    <col min="12561" max="12561" width="6.85546875" style="11" customWidth="1"/>
    <col min="12562" max="12562" width="7.7109375" style="11" customWidth="1"/>
    <col min="12563" max="12563" width="9.28515625" style="11" customWidth="1"/>
    <col min="12564" max="12564" width="14.85546875" style="11" customWidth="1"/>
    <col min="12565" max="12565" width="8.5703125" style="11" customWidth="1"/>
    <col min="12566" max="12566" width="7" style="11" customWidth="1"/>
    <col min="12567" max="12567" width="9.85546875" style="11" customWidth="1"/>
    <col min="12568" max="12568" width="10.85546875" style="11" customWidth="1"/>
    <col min="12569" max="12569" width="19.42578125" style="11" bestFit="1" customWidth="1"/>
    <col min="12570" max="12570" width="18.28515625" style="11" customWidth="1"/>
    <col min="12571" max="12572" width="15.7109375" style="11" bestFit="1" customWidth="1"/>
    <col min="12573" max="12573" width="51.42578125" style="11" customWidth="1"/>
    <col min="12574" max="12574" width="11.5703125" style="11" customWidth="1"/>
    <col min="12575" max="12575" width="46.42578125" style="11" bestFit="1" customWidth="1"/>
    <col min="12576" max="12576" width="35.5703125" style="11" customWidth="1"/>
    <col min="12577" max="12577" width="75.7109375" style="11" customWidth="1"/>
    <col min="12578" max="12578" width="12.85546875" style="11" bestFit="1" customWidth="1"/>
    <col min="12579" max="12579" width="13.28515625" style="11" bestFit="1" customWidth="1"/>
    <col min="12580" max="12580" width="14.28515625" style="11" bestFit="1" customWidth="1"/>
    <col min="12581" max="12582" width="10.7109375" style="11" bestFit="1" customWidth="1"/>
    <col min="12583" max="12583" width="26.140625" style="11" bestFit="1" customWidth="1"/>
    <col min="12584" max="12584" width="75.7109375" style="11" customWidth="1"/>
    <col min="12585" max="12585" width="9.7109375" style="11" bestFit="1" customWidth="1"/>
    <col min="12586" max="12800" width="9.140625" style="11"/>
    <col min="12801" max="12801" width="9.140625" style="11" customWidth="1"/>
    <col min="12802" max="12802" width="7.7109375" style="11" customWidth="1"/>
    <col min="12803" max="12803" width="17.140625" style="11" customWidth="1"/>
    <col min="12804" max="12804" width="15.5703125" style="11" customWidth="1"/>
    <col min="12805" max="12805" width="19.28515625" style="11" bestFit="1" customWidth="1"/>
    <col min="12806" max="12806" width="14.85546875" style="11" customWidth="1"/>
    <col min="12807" max="12807" width="20" style="11" customWidth="1"/>
    <col min="12808" max="12808" width="10.28515625" style="11" customWidth="1"/>
    <col min="12809" max="12809" width="11" style="11" bestFit="1" customWidth="1"/>
    <col min="12810" max="12810" width="11.28515625" style="11" customWidth="1"/>
    <col min="12811" max="12811" width="8" style="11" customWidth="1"/>
    <col min="12812" max="12812" width="11.7109375" style="11" customWidth="1"/>
    <col min="12813" max="12813" width="14.28515625" style="11" customWidth="1"/>
    <col min="12814" max="12814" width="7.5703125" style="11" customWidth="1"/>
    <col min="12815" max="12815" width="8.42578125" style="11" customWidth="1"/>
    <col min="12816" max="12816" width="77.42578125" style="11" customWidth="1"/>
    <col min="12817" max="12817" width="6.85546875" style="11" customWidth="1"/>
    <col min="12818" max="12818" width="7.7109375" style="11" customWidth="1"/>
    <col min="12819" max="12819" width="9.28515625" style="11" customWidth="1"/>
    <col min="12820" max="12820" width="14.85546875" style="11" customWidth="1"/>
    <col min="12821" max="12821" width="8.5703125" style="11" customWidth="1"/>
    <col min="12822" max="12822" width="7" style="11" customWidth="1"/>
    <col min="12823" max="12823" width="9.85546875" style="11" customWidth="1"/>
    <col min="12824" max="12824" width="10.85546875" style="11" customWidth="1"/>
    <col min="12825" max="12825" width="19.42578125" style="11" bestFit="1" customWidth="1"/>
    <col min="12826" max="12826" width="18.28515625" style="11" customWidth="1"/>
    <col min="12827" max="12828" width="15.7109375" style="11" bestFit="1" customWidth="1"/>
    <col min="12829" max="12829" width="51.42578125" style="11" customWidth="1"/>
    <col min="12830" max="12830" width="11.5703125" style="11" customWidth="1"/>
    <col min="12831" max="12831" width="46.42578125" style="11" bestFit="1" customWidth="1"/>
    <col min="12832" max="12832" width="35.5703125" style="11" customWidth="1"/>
    <col min="12833" max="12833" width="75.7109375" style="11" customWidth="1"/>
    <col min="12834" max="12834" width="12.85546875" style="11" bestFit="1" customWidth="1"/>
    <col min="12835" max="12835" width="13.28515625" style="11" bestFit="1" customWidth="1"/>
    <col min="12836" max="12836" width="14.28515625" style="11" bestFit="1" customWidth="1"/>
    <col min="12837" max="12838" width="10.7109375" style="11" bestFit="1" customWidth="1"/>
    <col min="12839" max="12839" width="26.140625" style="11" bestFit="1" customWidth="1"/>
    <col min="12840" max="12840" width="75.7109375" style="11" customWidth="1"/>
    <col min="12841" max="12841" width="9.7109375" style="11" bestFit="1" customWidth="1"/>
    <col min="12842" max="13056" width="9.140625" style="11"/>
    <col min="13057" max="13057" width="9.140625" style="11" customWidth="1"/>
    <col min="13058" max="13058" width="7.7109375" style="11" customWidth="1"/>
    <col min="13059" max="13059" width="17.140625" style="11" customWidth="1"/>
    <col min="13060" max="13060" width="15.5703125" style="11" customWidth="1"/>
    <col min="13061" max="13061" width="19.28515625" style="11" bestFit="1" customWidth="1"/>
    <col min="13062" max="13062" width="14.85546875" style="11" customWidth="1"/>
    <col min="13063" max="13063" width="20" style="11" customWidth="1"/>
    <col min="13064" max="13064" width="10.28515625" style="11" customWidth="1"/>
    <col min="13065" max="13065" width="11" style="11" bestFit="1" customWidth="1"/>
    <col min="13066" max="13066" width="11.28515625" style="11" customWidth="1"/>
    <col min="13067" max="13067" width="8" style="11" customWidth="1"/>
    <col min="13068" max="13068" width="11.7109375" style="11" customWidth="1"/>
    <col min="13069" max="13069" width="14.28515625" style="11" customWidth="1"/>
    <col min="13070" max="13070" width="7.5703125" style="11" customWidth="1"/>
    <col min="13071" max="13071" width="8.42578125" style="11" customWidth="1"/>
    <col min="13072" max="13072" width="77.42578125" style="11" customWidth="1"/>
    <col min="13073" max="13073" width="6.85546875" style="11" customWidth="1"/>
    <col min="13074" max="13074" width="7.7109375" style="11" customWidth="1"/>
    <col min="13075" max="13075" width="9.28515625" style="11" customWidth="1"/>
    <col min="13076" max="13076" width="14.85546875" style="11" customWidth="1"/>
    <col min="13077" max="13077" width="8.5703125" style="11" customWidth="1"/>
    <col min="13078" max="13078" width="7" style="11" customWidth="1"/>
    <col min="13079" max="13079" width="9.85546875" style="11" customWidth="1"/>
    <col min="13080" max="13080" width="10.85546875" style="11" customWidth="1"/>
    <col min="13081" max="13081" width="19.42578125" style="11" bestFit="1" customWidth="1"/>
    <col min="13082" max="13082" width="18.28515625" style="11" customWidth="1"/>
    <col min="13083" max="13084" width="15.7109375" style="11" bestFit="1" customWidth="1"/>
    <col min="13085" max="13085" width="51.42578125" style="11" customWidth="1"/>
    <col min="13086" max="13086" width="11.5703125" style="11" customWidth="1"/>
    <col min="13087" max="13087" width="46.42578125" style="11" bestFit="1" customWidth="1"/>
    <col min="13088" max="13088" width="35.5703125" style="11" customWidth="1"/>
    <col min="13089" max="13089" width="75.7109375" style="11" customWidth="1"/>
    <col min="13090" max="13090" width="12.85546875" style="11" bestFit="1" customWidth="1"/>
    <col min="13091" max="13091" width="13.28515625" style="11" bestFit="1" customWidth="1"/>
    <col min="13092" max="13092" width="14.28515625" style="11" bestFit="1" customWidth="1"/>
    <col min="13093" max="13094" width="10.7109375" style="11" bestFit="1" customWidth="1"/>
    <col min="13095" max="13095" width="26.140625" style="11" bestFit="1" customWidth="1"/>
    <col min="13096" max="13096" width="75.7109375" style="11" customWidth="1"/>
    <col min="13097" max="13097" width="9.7109375" style="11" bestFit="1" customWidth="1"/>
    <col min="13098" max="13312" width="9.140625" style="11"/>
    <col min="13313" max="13313" width="9.140625" style="11" customWidth="1"/>
    <col min="13314" max="13314" width="7.7109375" style="11" customWidth="1"/>
    <col min="13315" max="13315" width="17.140625" style="11" customWidth="1"/>
    <col min="13316" max="13316" width="15.5703125" style="11" customWidth="1"/>
    <col min="13317" max="13317" width="19.28515625" style="11" bestFit="1" customWidth="1"/>
    <col min="13318" max="13318" width="14.85546875" style="11" customWidth="1"/>
    <col min="13319" max="13319" width="20" style="11" customWidth="1"/>
    <col min="13320" max="13320" width="10.28515625" style="11" customWidth="1"/>
    <col min="13321" max="13321" width="11" style="11" bestFit="1" customWidth="1"/>
    <col min="13322" max="13322" width="11.28515625" style="11" customWidth="1"/>
    <col min="13323" max="13323" width="8" style="11" customWidth="1"/>
    <col min="13324" max="13324" width="11.7109375" style="11" customWidth="1"/>
    <col min="13325" max="13325" width="14.28515625" style="11" customWidth="1"/>
    <col min="13326" max="13326" width="7.5703125" style="11" customWidth="1"/>
    <col min="13327" max="13327" width="8.42578125" style="11" customWidth="1"/>
    <col min="13328" max="13328" width="77.42578125" style="11" customWidth="1"/>
    <col min="13329" max="13329" width="6.85546875" style="11" customWidth="1"/>
    <col min="13330" max="13330" width="7.7109375" style="11" customWidth="1"/>
    <col min="13331" max="13331" width="9.28515625" style="11" customWidth="1"/>
    <col min="13332" max="13332" width="14.85546875" style="11" customWidth="1"/>
    <col min="13333" max="13333" width="8.5703125" style="11" customWidth="1"/>
    <col min="13334" max="13334" width="7" style="11" customWidth="1"/>
    <col min="13335" max="13335" width="9.85546875" style="11" customWidth="1"/>
    <col min="13336" max="13336" width="10.85546875" style="11" customWidth="1"/>
    <col min="13337" max="13337" width="19.42578125" style="11" bestFit="1" customWidth="1"/>
    <col min="13338" max="13338" width="18.28515625" style="11" customWidth="1"/>
    <col min="13339" max="13340" width="15.7109375" style="11" bestFit="1" customWidth="1"/>
    <col min="13341" max="13341" width="51.42578125" style="11" customWidth="1"/>
    <col min="13342" max="13342" width="11.5703125" style="11" customWidth="1"/>
    <col min="13343" max="13343" width="46.42578125" style="11" bestFit="1" customWidth="1"/>
    <col min="13344" max="13344" width="35.5703125" style="11" customWidth="1"/>
    <col min="13345" max="13345" width="75.7109375" style="11" customWidth="1"/>
    <col min="13346" max="13346" width="12.85546875" style="11" bestFit="1" customWidth="1"/>
    <col min="13347" max="13347" width="13.28515625" style="11" bestFit="1" customWidth="1"/>
    <col min="13348" max="13348" width="14.28515625" style="11" bestFit="1" customWidth="1"/>
    <col min="13349" max="13350" width="10.7109375" style="11" bestFit="1" customWidth="1"/>
    <col min="13351" max="13351" width="26.140625" style="11" bestFit="1" customWidth="1"/>
    <col min="13352" max="13352" width="75.7109375" style="11" customWidth="1"/>
    <col min="13353" max="13353" width="9.7109375" style="11" bestFit="1" customWidth="1"/>
    <col min="13354" max="13568" width="9.140625" style="11"/>
    <col min="13569" max="13569" width="9.140625" style="11" customWidth="1"/>
    <col min="13570" max="13570" width="7.7109375" style="11" customWidth="1"/>
    <col min="13571" max="13571" width="17.140625" style="11" customWidth="1"/>
    <col min="13572" max="13572" width="15.5703125" style="11" customWidth="1"/>
    <col min="13573" max="13573" width="19.28515625" style="11" bestFit="1" customWidth="1"/>
    <col min="13574" max="13574" width="14.85546875" style="11" customWidth="1"/>
    <col min="13575" max="13575" width="20" style="11" customWidth="1"/>
    <col min="13576" max="13576" width="10.28515625" style="11" customWidth="1"/>
    <col min="13577" max="13577" width="11" style="11" bestFit="1" customWidth="1"/>
    <col min="13578" max="13578" width="11.28515625" style="11" customWidth="1"/>
    <col min="13579" max="13579" width="8" style="11" customWidth="1"/>
    <col min="13580" max="13580" width="11.7109375" style="11" customWidth="1"/>
    <col min="13581" max="13581" width="14.28515625" style="11" customWidth="1"/>
    <col min="13582" max="13582" width="7.5703125" style="11" customWidth="1"/>
    <col min="13583" max="13583" width="8.42578125" style="11" customWidth="1"/>
    <col min="13584" max="13584" width="77.42578125" style="11" customWidth="1"/>
    <col min="13585" max="13585" width="6.85546875" style="11" customWidth="1"/>
    <col min="13586" max="13586" width="7.7109375" style="11" customWidth="1"/>
    <col min="13587" max="13587" width="9.28515625" style="11" customWidth="1"/>
    <col min="13588" max="13588" width="14.85546875" style="11" customWidth="1"/>
    <col min="13589" max="13589" width="8.5703125" style="11" customWidth="1"/>
    <col min="13590" max="13590" width="7" style="11" customWidth="1"/>
    <col min="13591" max="13591" width="9.85546875" style="11" customWidth="1"/>
    <col min="13592" max="13592" width="10.85546875" style="11" customWidth="1"/>
    <col min="13593" max="13593" width="19.42578125" style="11" bestFit="1" customWidth="1"/>
    <col min="13594" max="13594" width="18.28515625" style="11" customWidth="1"/>
    <col min="13595" max="13596" width="15.7109375" style="11" bestFit="1" customWidth="1"/>
    <col min="13597" max="13597" width="51.42578125" style="11" customWidth="1"/>
    <col min="13598" max="13598" width="11.5703125" style="11" customWidth="1"/>
    <col min="13599" max="13599" width="46.42578125" style="11" bestFit="1" customWidth="1"/>
    <col min="13600" max="13600" width="35.5703125" style="11" customWidth="1"/>
    <col min="13601" max="13601" width="75.7109375" style="11" customWidth="1"/>
    <col min="13602" max="13602" width="12.85546875" style="11" bestFit="1" customWidth="1"/>
    <col min="13603" max="13603" width="13.28515625" style="11" bestFit="1" customWidth="1"/>
    <col min="13604" max="13604" width="14.28515625" style="11" bestFit="1" customWidth="1"/>
    <col min="13605" max="13606" width="10.7109375" style="11" bestFit="1" customWidth="1"/>
    <col min="13607" max="13607" width="26.140625" style="11" bestFit="1" customWidth="1"/>
    <col min="13608" max="13608" width="75.7109375" style="11" customWidth="1"/>
    <col min="13609" max="13609" width="9.7109375" style="11" bestFit="1" customWidth="1"/>
    <col min="13610" max="13824" width="9.140625" style="11"/>
    <col min="13825" max="13825" width="9.140625" style="11" customWidth="1"/>
    <col min="13826" max="13826" width="7.7109375" style="11" customWidth="1"/>
    <col min="13827" max="13827" width="17.140625" style="11" customWidth="1"/>
    <col min="13828" max="13828" width="15.5703125" style="11" customWidth="1"/>
    <col min="13829" max="13829" width="19.28515625" style="11" bestFit="1" customWidth="1"/>
    <col min="13830" max="13830" width="14.85546875" style="11" customWidth="1"/>
    <col min="13831" max="13831" width="20" style="11" customWidth="1"/>
    <col min="13832" max="13832" width="10.28515625" style="11" customWidth="1"/>
    <col min="13833" max="13833" width="11" style="11" bestFit="1" customWidth="1"/>
    <col min="13834" max="13834" width="11.28515625" style="11" customWidth="1"/>
    <col min="13835" max="13835" width="8" style="11" customWidth="1"/>
    <col min="13836" max="13836" width="11.7109375" style="11" customWidth="1"/>
    <col min="13837" max="13837" width="14.28515625" style="11" customWidth="1"/>
    <col min="13838" max="13838" width="7.5703125" style="11" customWidth="1"/>
    <col min="13839" max="13839" width="8.42578125" style="11" customWidth="1"/>
    <col min="13840" max="13840" width="77.42578125" style="11" customWidth="1"/>
    <col min="13841" max="13841" width="6.85546875" style="11" customWidth="1"/>
    <col min="13842" max="13842" width="7.7109375" style="11" customWidth="1"/>
    <col min="13843" max="13843" width="9.28515625" style="11" customWidth="1"/>
    <col min="13844" max="13844" width="14.85546875" style="11" customWidth="1"/>
    <col min="13845" max="13845" width="8.5703125" style="11" customWidth="1"/>
    <col min="13846" max="13846" width="7" style="11" customWidth="1"/>
    <col min="13847" max="13847" width="9.85546875" style="11" customWidth="1"/>
    <col min="13848" max="13848" width="10.85546875" style="11" customWidth="1"/>
    <col min="13849" max="13849" width="19.42578125" style="11" bestFit="1" customWidth="1"/>
    <col min="13850" max="13850" width="18.28515625" style="11" customWidth="1"/>
    <col min="13851" max="13852" width="15.7109375" style="11" bestFit="1" customWidth="1"/>
    <col min="13853" max="13853" width="51.42578125" style="11" customWidth="1"/>
    <col min="13854" max="13854" width="11.5703125" style="11" customWidth="1"/>
    <col min="13855" max="13855" width="46.42578125" style="11" bestFit="1" customWidth="1"/>
    <col min="13856" max="13856" width="35.5703125" style="11" customWidth="1"/>
    <col min="13857" max="13857" width="75.7109375" style="11" customWidth="1"/>
    <col min="13858" max="13858" width="12.85546875" style="11" bestFit="1" customWidth="1"/>
    <col min="13859" max="13859" width="13.28515625" style="11" bestFit="1" customWidth="1"/>
    <col min="13860" max="13860" width="14.28515625" style="11" bestFit="1" customWidth="1"/>
    <col min="13861" max="13862" width="10.7109375" style="11" bestFit="1" customWidth="1"/>
    <col min="13863" max="13863" width="26.140625" style="11" bestFit="1" customWidth="1"/>
    <col min="13864" max="13864" width="75.7109375" style="11" customWidth="1"/>
    <col min="13865" max="13865" width="9.7109375" style="11" bestFit="1" customWidth="1"/>
    <col min="13866" max="14080" width="9.140625" style="11"/>
    <col min="14081" max="14081" width="9.140625" style="11" customWidth="1"/>
    <col min="14082" max="14082" width="7.7109375" style="11" customWidth="1"/>
    <col min="14083" max="14083" width="17.140625" style="11" customWidth="1"/>
    <col min="14084" max="14084" width="15.5703125" style="11" customWidth="1"/>
    <col min="14085" max="14085" width="19.28515625" style="11" bestFit="1" customWidth="1"/>
    <col min="14086" max="14086" width="14.85546875" style="11" customWidth="1"/>
    <col min="14087" max="14087" width="20" style="11" customWidth="1"/>
    <col min="14088" max="14088" width="10.28515625" style="11" customWidth="1"/>
    <col min="14089" max="14089" width="11" style="11" bestFit="1" customWidth="1"/>
    <col min="14090" max="14090" width="11.28515625" style="11" customWidth="1"/>
    <col min="14091" max="14091" width="8" style="11" customWidth="1"/>
    <col min="14092" max="14092" width="11.7109375" style="11" customWidth="1"/>
    <col min="14093" max="14093" width="14.28515625" style="11" customWidth="1"/>
    <col min="14094" max="14094" width="7.5703125" style="11" customWidth="1"/>
    <col min="14095" max="14095" width="8.42578125" style="11" customWidth="1"/>
    <col min="14096" max="14096" width="77.42578125" style="11" customWidth="1"/>
    <col min="14097" max="14097" width="6.85546875" style="11" customWidth="1"/>
    <col min="14098" max="14098" width="7.7109375" style="11" customWidth="1"/>
    <col min="14099" max="14099" width="9.28515625" style="11" customWidth="1"/>
    <col min="14100" max="14100" width="14.85546875" style="11" customWidth="1"/>
    <col min="14101" max="14101" width="8.5703125" style="11" customWidth="1"/>
    <col min="14102" max="14102" width="7" style="11" customWidth="1"/>
    <col min="14103" max="14103" width="9.85546875" style="11" customWidth="1"/>
    <col min="14104" max="14104" width="10.85546875" style="11" customWidth="1"/>
    <col min="14105" max="14105" width="19.42578125" style="11" bestFit="1" customWidth="1"/>
    <col min="14106" max="14106" width="18.28515625" style="11" customWidth="1"/>
    <col min="14107" max="14108" width="15.7109375" style="11" bestFit="1" customWidth="1"/>
    <col min="14109" max="14109" width="51.42578125" style="11" customWidth="1"/>
    <col min="14110" max="14110" width="11.5703125" style="11" customWidth="1"/>
    <col min="14111" max="14111" width="46.42578125" style="11" bestFit="1" customWidth="1"/>
    <col min="14112" max="14112" width="35.5703125" style="11" customWidth="1"/>
    <col min="14113" max="14113" width="75.7109375" style="11" customWidth="1"/>
    <col min="14114" max="14114" width="12.85546875" style="11" bestFit="1" customWidth="1"/>
    <col min="14115" max="14115" width="13.28515625" style="11" bestFit="1" customWidth="1"/>
    <col min="14116" max="14116" width="14.28515625" style="11" bestFit="1" customWidth="1"/>
    <col min="14117" max="14118" width="10.7109375" style="11" bestFit="1" customWidth="1"/>
    <col min="14119" max="14119" width="26.140625" style="11" bestFit="1" customWidth="1"/>
    <col min="14120" max="14120" width="75.7109375" style="11" customWidth="1"/>
    <col min="14121" max="14121" width="9.7109375" style="11" bestFit="1" customWidth="1"/>
    <col min="14122" max="14336" width="9.140625" style="11"/>
    <col min="14337" max="14337" width="9.140625" style="11" customWidth="1"/>
    <col min="14338" max="14338" width="7.7109375" style="11" customWidth="1"/>
    <col min="14339" max="14339" width="17.140625" style="11" customWidth="1"/>
    <col min="14340" max="14340" width="15.5703125" style="11" customWidth="1"/>
    <col min="14341" max="14341" width="19.28515625" style="11" bestFit="1" customWidth="1"/>
    <col min="14342" max="14342" width="14.85546875" style="11" customWidth="1"/>
    <col min="14343" max="14343" width="20" style="11" customWidth="1"/>
    <col min="14344" max="14344" width="10.28515625" style="11" customWidth="1"/>
    <col min="14345" max="14345" width="11" style="11" bestFit="1" customWidth="1"/>
    <col min="14346" max="14346" width="11.28515625" style="11" customWidth="1"/>
    <col min="14347" max="14347" width="8" style="11" customWidth="1"/>
    <col min="14348" max="14348" width="11.7109375" style="11" customWidth="1"/>
    <col min="14349" max="14349" width="14.28515625" style="11" customWidth="1"/>
    <col min="14350" max="14350" width="7.5703125" style="11" customWidth="1"/>
    <col min="14351" max="14351" width="8.42578125" style="11" customWidth="1"/>
    <col min="14352" max="14352" width="77.42578125" style="11" customWidth="1"/>
    <col min="14353" max="14353" width="6.85546875" style="11" customWidth="1"/>
    <col min="14354" max="14354" width="7.7109375" style="11" customWidth="1"/>
    <col min="14355" max="14355" width="9.28515625" style="11" customWidth="1"/>
    <col min="14356" max="14356" width="14.85546875" style="11" customWidth="1"/>
    <col min="14357" max="14357" width="8.5703125" style="11" customWidth="1"/>
    <col min="14358" max="14358" width="7" style="11" customWidth="1"/>
    <col min="14359" max="14359" width="9.85546875" style="11" customWidth="1"/>
    <col min="14360" max="14360" width="10.85546875" style="11" customWidth="1"/>
    <col min="14361" max="14361" width="19.42578125" style="11" bestFit="1" customWidth="1"/>
    <col min="14362" max="14362" width="18.28515625" style="11" customWidth="1"/>
    <col min="14363" max="14364" width="15.7109375" style="11" bestFit="1" customWidth="1"/>
    <col min="14365" max="14365" width="51.42578125" style="11" customWidth="1"/>
    <col min="14366" max="14366" width="11.5703125" style="11" customWidth="1"/>
    <col min="14367" max="14367" width="46.42578125" style="11" bestFit="1" customWidth="1"/>
    <col min="14368" max="14368" width="35.5703125" style="11" customWidth="1"/>
    <col min="14369" max="14369" width="75.7109375" style="11" customWidth="1"/>
    <col min="14370" max="14370" width="12.85546875" style="11" bestFit="1" customWidth="1"/>
    <col min="14371" max="14371" width="13.28515625" style="11" bestFit="1" customWidth="1"/>
    <col min="14372" max="14372" width="14.28515625" style="11" bestFit="1" customWidth="1"/>
    <col min="14373" max="14374" width="10.7109375" style="11" bestFit="1" customWidth="1"/>
    <col min="14375" max="14375" width="26.140625" style="11" bestFit="1" customWidth="1"/>
    <col min="14376" max="14376" width="75.7109375" style="11" customWidth="1"/>
    <col min="14377" max="14377" width="9.7109375" style="11" bestFit="1" customWidth="1"/>
    <col min="14378" max="14592" width="9.140625" style="11"/>
    <col min="14593" max="14593" width="9.140625" style="11" customWidth="1"/>
    <col min="14594" max="14594" width="7.7109375" style="11" customWidth="1"/>
    <col min="14595" max="14595" width="17.140625" style="11" customWidth="1"/>
    <col min="14596" max="14596" width="15.5703125" style="11" customWidth="1"/>
    <col min="14597" max="14597" width="19.28515625" style="11" bestFit="1" customWidth="1"/>
    <col min="14598" max="14598" width="14.85546875" style="11" customWidth="1"/>
    <col min="14599" max="14599" width="20" style="11" customWidth="1"/>
    <col min="14600" max="14600" width="10.28515625" style="11" customWidth="1"/>
    <col min="14601" max="14601" width="11" style="11" bestFit="1" customWidth="1"/>
    <col min="14602" max="14602" width="11.28515625" style="11" customWidth="1"/>
    <col min="14603" max="14603" width="8" style="11" customWidth="1"/>
    <col min="14604" max="14604" width="11.7109375" style="11" customWidth="1"/>
    <col min="14605" max="14605" width="14.28515625" style="11" customWidth="1"/>
    <col min="14606" max="14606" width="7.5703125" style="11" customWidth="1"/>
    <col min="14607" max="14607" width="8.42578125" style="11" customWidth="1"/>
    <col min="14608" max="14608" width="77.42578125" style="11" customWidth="1"/>
    <col min="14609" max="14609" width="6.85546875" style="11" customWidth="1"/>
    <col min="14610" max="14610" width="7.7109375" style="11" customWidth="1"/>
    <col min="14611" max="14611" width="9.28515625" style="11" customWidth="1"/>
    <col min="14612" max="14612" width="14.85546875" style="11" customWidth="1"/>
    <col min="14613" max="14613" width="8.5703125" style="11" customWidth="1"/>
    <col min="14614" max="14614" width="7" style="11" customWidth="1"/>
    <col min="14615" max="14615" width="9.85546875" style="11" customWidth="1"/>
    <col min="14616" max="14616" width="10.85546875" style="11" customWidth="1"/>
    <col min="14617" max="14617" width="19.42578125" style="11" bestFit="1" customWidth="1"/>
    <col min="14618" max="14618" width="18.28515625" style="11" customWidth="1"/>
    <col min="14619" max="14620" width="15.7109375" style="11" bestFit="1" customWidth="1"/>
    <col min="14621" max="14621" width="51.42578125" style="11" customWidth="1"/>
    <col min="14622" max="14622" width="11.5703125" style="11" customWidth="1"/>
    <col min="14623" max="14623" width="46.42578125" style="11" bestFit="1" customWidth="1"/>
    <col min="14624" max="14624" width="35.5703125" style="11" customWidth="1"/>
    <col min="14625" max="14625" width="75.7109375" style="11" customWidth="1"/>
    <col min="14626" max="14626" width="12.85546875" style="11" bestFit="1" customWidth="1"/>
    <col min="14627" max="14627" width="13.28515625" style="11" bestFit="1" customWidth="1"/>
    <col min="14628" max="14628" width="14.28515625" style="11" bestFit="1" customWidth="1"/>
    <col min="14629" max="14630" width="10.7109375" style="11" bestFit="1" customWidth="1"/>
    <col min="14631" max="14631" width="26.140625" style="11" bestFit="1" customWidth="1"/>
    <col min="14632" max="14632" width="75.7109375" style="11" customWidth="1"/>
    <col min="14633" max="14633" width="9.7109375" style="11" bestFit="1" customWidth="1"/>
    <col min="14634" max="14848" width="9.140625" style="11"/>
    <col min="14849" max="14849" width="9.140625" style="11" customWidth="1"/>
    <col min="14850" max="14850" width="7.7109375" style="11" customWidth="1"/>
    <col min="14851" max="14851" width="17.140625" style="11" customWidth="1"/>
    <col min="14852" max="14852" width="15.5703125" style="11" customWidth="1"/>
    <col min="14853" max="14853" width="19.28515625" style="11" bestFit="1" customWidth="1"/>
    <col min="14854" max="14854" width="14.85546875" style="11" customWidth="1"/>
    <col min="14855" max="14855" width="20" style="11" customWidth="1"/>
    <col min="14856" max="14856" width="10.28515625" style="11" customWidth="1"/>
    <col min="14857" max="14857" width="11" style="11" bestFit="1" customWidth="1"/>
    <col min="14858" max="14858" width="11.28515625" style="11" customWidth="1"/>
    <col min="14859" max="14859" width="8" style="11" customWidth="1"/>
    <col min="14860" max="14860" width="11.7109375" style="11" customWidth="1"/>
    <col min="14861" max="14861" width="14.28515625" style="11" customWidth="1"/>
    <col min="14862" max="14862" width="7.5703125" style="11" customWidth="1"/>
    <col min="14863" max="14863" width="8.42578125" style="11" customWidth="1"/>
    <col min="14864" max="14864" width="77.42578125" style="11" customWidth="1"/>
    <col min="14865" max="14865" width="6.85546875" style="11" customWidth="1"/>
    <col min="14866" max="14866" width="7.7109375" style="11" customWidth="1"/>
    <col min="14867" max="14867" width="9.28515625" style="11" customWidth="1"/>
    <col min="14868" max="14868" width="14.85546875" style="11" customWidth="1"/>
    <col min="14869" max="14869" width="8.5703125" style="11" customWidth="1"/>
    <col min="14870" max="14870" width="7" style="11" customWidth="1"/>
    <col min="14871" max="14871" width="9.85546875" style="11" customWidth="1"/>
    <col min="14872" max="14872" width="10.85546875" style="11" customWidth="1"/>
    <col min="14873" max="14873" width="19.42578125" style="11" bestFit="1" customWidth="1"/>
    <col min="14874" max="14874" width="18.28515625" style="11" customWidth="1"/>
    <col min="14875" max="14876" width="15.7109375" style="11" bestFit="1" customWidth="1"/>
    <col min="14877" max="14877" width="51.42578125" style="11" customWidth="1"/>
    <col min="14878" max="14878" width="11.5703125" style="11" customWidth="1"/>
    <col min="14879" max="14879" width="46.42578125" style="11" bestFit="1" customWidth="1"/>
    <col min="14880" max="14880" width="35.5703125" style="11" customWidth="1"/>
    <col min="14881" max="14881" width="75.7109375" style="11" customWidth="1"/>
    <col min="14882" max="14882" width="12.85546875" style="11" bestFit="1" customWidth="1"/>
    <col min="14883" max="14883" width="13.28515625" style="11" bestFit="1" customWidth="1"/>
    <col min="14884" max="14884" width="14.28515625" style="11" bestFit="1" customWidth="1"/>
    <col min="14885" max="14886" width="10.7109375" style="11" bestFit="1" customWidth="1"/>
    <col min="14887" max="14887" width="26.140625" style="11" bestFit="1" customWidth="1"/>
    <col min="14888" max="14888" width="75.7109375" style="11" customWidth="1"/>
    <col min="14889" max="14889" width="9.7109375" style="11" bestFit="1" customWidth="1"/>
    <col min="14890" max="15104" width="9.140625" style="11"/>
    <col min="15105" max="15105" width="9.140625" style="11" customWidth="1"/>
    <col min="15106" max="15106" width="7.7109375" style="11" customWidth="1"/>
    <col min="15107" max="15107" width="17.140625" style="11" customWidth="1"/>
    <col min="15108" max="15108" width="15.5703125" style="11" customWidth="1"/>
    <col min="15109" max="15109" width="19.28515625" style="11" bestFit="1" customWidth="1"/>
    <col min="15110" max="15110" width="14.85546875" style="11" customWidth="1"/>
    <col min="15111" max="15111" width="20" style="11" customWidth="1"/>
    <col min="15112" max="15112" width="10.28515625" style="11" customWidth="1"/>
    <col min="15113" max="15113" width="11" style="11" bestFit="1" customWidth="1"/>
    <col min="15114" max="15114" width="11.28515625" style="11" customWidth="1"/>
    <col min="15115" max="15115" width="8" style="11" customWidth="1"/>
    <col min="15116" max="15116" width="11.7109375" style="11" customWidth="1"/>
    <col min="15117" max="15117" width="14.28515625" style="11" customWidth="1"/>
    <col min="15118" max="15118" width="7.5703125" style="11" customWidth="1"/>
    <col min="15119" max="15119" width="8.42578125" style="11" customWidth="1"/>
    <col min="15120" max="15120" width="77.42578125" style="11" customWidth="1"/>
    <col min="15121" max="15121" width="6.85546875" style="11" customWidth="1"/>
    <col min="15122" max="15122" width="7.7109375" style="11" customWidth="1"/>
    <col min="15123" max="15123" width="9.28515625" style="11" customWidth="1"/>
    <col min="15124" max="15124" width="14.85546875" style="11" customWidth="1"/>
    <col min="15125" max="15125" width="8.5703125" style="11" customWidth="1"/>
    <col min="15126" max="15126" width="7" style="11" customWidth="1"/>
    <col min="15127" max="15127" width="9.85546875" style="11" customWidth="1"/>
    <col min="15128" max="15128" width="10.85546875" style="11" customWidth="1"/>
    <col min="15129" max="15129" width="19.42578125" style="11" bestFit="1" customWidth="1"/>
    <col min="15130" max="15130" width="18.28515625" style="11" customWidth="1"/>
    <col min="15131" max="15132" width="15.7109375" style="11" bestFit="1" customWidth="1"/>
    <col min="15133" max="15133" width="51.42578125" style="11" customWidth="1"/>
    <col min="15134" max="15134" width="11.5703125" style="11" customWidth="1"/>
    <col min="15135" max="15135" width="46.42578125" style="11" bestFit="1" customWidth="1"/>
    <col min="15136" max="15136" width="35.5703125" style="11" customWidth="1"/>
    <col min="15137" max="15137" width="75.7109375" style="11" customWidth="1"/>
    <col min="15138" max="15138" width="12.85546875" style="11" bestFit="1" customWidth="1"/>
    <col min="15139" max="15139" width="13.28515625" style="11" bestFit="1" customWidth="1"/>
    <col min="15140" max="15140" width="14.28515625" style="11" bestFit="1" customWidth="1"/>
    <col min="15141" max="15142" width="10.7109375" style="11" bestFit="1" customWidth="1"/>
    <col min="15143" max="15143" width="26.140625" style="11" bestFit="1" customWidth="1"/>
    <col min="15144" max="15144" width="75.7109375" style="11" customWidth="1"/>
    <col min="15145" max="15145" width="9.7109375" style="11" bestFit="1" customWidth="1"/>
    <col min="15146" max="15360" width="9.140625" style="11"/>
    <col min="15361" max="15361" width="9.140625" style="11" customWidth="1"/>
    <col min="15362" max="15362" width="7.7109375" style="11" customWidth="1"/>
    <col min="15363" max="15363" width="17.140625" style="11" customWidth="1"/>
    <col min="15364" max="15364" width="15.5703125" style="11" customWidth="1"/>
    <col min="15365" max="15365" width="19.28515625" style="11" bestFit="1" customWidth="1"/>
    <col min="15366" max="15366" width="14.85546875" style="11" customWidth="1"/>
    <col min="15367" max="15367" width="20" style="11" customWidth="1"/>
    <col min="15368" max="15368" width="10.28515625" style="11" customWidth="1"/>
    <col min="15369" max="15369" width="11" style="11" bestFit="1" customWidth="1"/>
    <col min="15370" max="15370" width="11.28515625" style="11" customWidth="1"/>
    <col min="15371" max="15371" width="8" style="11" customWidth="1"/>
    <col min="15372" max="15372" width="11.7109375" style="11" customWidth="1"/>
    <col min="15373" max="15373" width="14.28515625" style="11" customWidth="1"/>
    <col min="15374" max="15374" width="7.5703125" style="11" customWidth="1"/>
    <col min="15375" max="15375" width="8.42578125" style="11" customWidth="1"/>
    <col min="15376" max="15376" width="77.42578125" style="11" customWidth="1"/>
    <col min="15377" max="15377" width="6.85546875" style="11" customWidth="1"/>
    <col min="15378" max="15378" width="7.7109375" style="11" customWidth="1"/>
    <col min="15379" max="15379" width="9.28515625" style="11" customWidth="1"/>
    <col min="15380" max="15380" width="14.85546875" style="11" customWidth="1"/>
    <col min="15381" max="15381" width="8.5703125" style="11" customWidth="1"/>
    <col min="15382" max="15382" width="7" style="11" customWidth="1"/>
    <col min="15383" max="15383" width="9.85546875" style="11" customWidth="1"/>
    <col min="15384" max="15384" width="10.85546875" style="11" customWidth="1"/>
    <col min="15385" max="15385" width="19.42578125" style="11" bestFit="1" customWidth="1"/>
    <col min="15386" max="15386" width="18.28515625" style="11" customWidth="1"/>
    <col min="15387" max="15388" width="15.7109375" style="11" bestFit="1" customWidth="1"/>
    <col min="15389" max="15389" width="51.42578125" style="11" customWidth="1"/>
    <col min="15390" max="15390" width="11.5703125" style="11" customWidth="1"/>
    <col min="15391" max="15391" width="46.42578125" style="11" bestFit="1" customWidth="1"/>
    <col min="15392" max="15392" width="35.5703125" style="11" customWidth="1"/>
    <col min="15393" max="15393" width="75.7109375" style="11" customWidth="1"/>
    <col min="15394" max="15394" width="12.85546875" style="11" bestFit="1" customWidth="1"/>
    <col min="15395" max="15395" width="13.28515625" style="11" bestFit="1" customWidth="1"/>
    <col min="15396" max="15396" width="14.28515625" style="11" bestFit="1" customWidth="1"/>
    <col min="15397" max="15398" width="10.7109375" style="11" bestFit="1" customWidth="1"/>
    <col min="15399" max="15399" width="26.140625" style="11" bestFit="1" customWidth="1"/>
    <col min="15400" max="15400" width="75.7109375" style="11" customWidth="1"/>
    <col min="15401" max="15401" width="9.7109375" style="11" bestFit="1" customWidth="1"/>
    <col min="15402" max="15616" width="9.140625" style="11"/>
    <col min="15617" max="15617" width="9.140625" style="11" customWidth="1"/>
    <col min="15618" max="15618" width="7.7109375" style="11" customWidth="1"/>
    <col min="15619" max="15619" width="17.140625" style="11" customWidth="1"/>
    <col min="15620" max="15620" width="15.5703125" style="11" customWidth="1"/>
    <col min="15621" max="15621" width="19.28515625" style="11" bestFit="1" customWidth="1"/>
    <col min="15622" max="15622" width="14.85546875" style="11" customWidth="1"/>
    <col min="15623" max="15623" width="20" style="11" customWidth="1"/>
    <col min="15624" max="15624" width="10.28515625" style="11" customWidth="1"/>
    <col min="15625" max="15625" width="11" style="11" bestFit="1" customWidth="1"/>
    <col min="15626" max="15626" width="11.28515625" style="11" customWidth="1"/>
    <col min="15627" max="15627" width="8" style="11" customWidth="1"/>
    <col min="15628" max="15628" width="11.7109375" style="11" customWidth="1"/>
    <col min="15629" max="15629" width="14.28515625" style="11" customWidth="1"/>
    <col min="15630" max="15630" width="7.5703125" style="11" customWidth="1"/>
    <col min="15631" max="15631" width="8.42578125" style="11" customWidth="1"/>
    <col min="15632" max="15632" width="77.42578125" style="11" customWidth="1"/>
    <col min="15633" max="15633" width="6.85546875" style="11" customWidth="1"/>
    <col min="15634" max="15634" width="7.7109375" style="11" customWidth="1"/>
    <col min="15635" max="15635" width="9.28515625" style="11" customWidth="1"/>
    <col min="15636" max="15636" width="14.85546875" style="11" customWidth="1"/>
    <col min="15637" max="15637" width="8.5703125" style="11" customWidth="1"/>
    <col min="15638" max="15638" width="7" style="11" customWidth="1"/>
    <col min="15639" max="15639" width="9.85546875" style="11" customWidth="1"/>
    <col min="15640" max="15640" width="10.85546875" style="11" customWidth="1"/>
    <col min="15641" max="15641" width="19.42578125" style="11" bestFit="1" customWidth="1"/>
    <col min="15642" max="15642" width="18.28515625" style="11" customWidth="1"/>
    <col min="15643" max="15644" width="15.7109375" style="11" bestFit="1" customWidth="1"/>
    <col min="15645" max="15645" width="51.42578125" style="11" customWidth="1"/>
    <col min="15646" max="15646" width="11.5703125" style="11" customWidth="1"/>
    <col min="15647" max="15647" width="46.42578125" style="11" bestFit="1" customWidth="1"/>
    <col min="15648" max="15648" width="35.5703125" style="11" customWidth="1"/>
    <col min="15649" max="15649" width="75.7109375" style="11" customWidth="1"/>
    <col min="15650" max="15650" width="12.85546875" style="11" bestFit="1" customWidth="1"/>
    <col min="15651" max="15651" width="13.28515625" style="11" bestFit="1" customWidth="1"/>
    <col min="15652" max="15652" width="14.28515625" style="11" bestFit="1" customWidth="1"/>
    <col min="15653" max="15654" width="10.7109375" style="11" bestFit="1" customWidth="1"/>
    <col min="15655" max="15655" width="26.140625" style="11" bestFit="1" customWidth="1"/>
    <col min="15656" max="15656" width="75.7109375" style="11" customWidth="1"/>
    <col min="15657" max="15657" width="9.7109375" style="11" bestFit="1" customWidth="1"/>
    <col min="15658" max="15872" width="9.140625" style="11"/>
    <col min="15873" max="15873" width="9.140625" style="11" customWidth="1"/>
    <col min="15874" max="15874" width="7.7109375" style="11" customWidth="1"/>
    <col min="15875" max="15875" width="17.140625" style="11" customWidth="1"/>
    <col min="15876" max="15876" width="15.5703125" style="11" customWidth="1"/>
    <col min="15877" max="15877" width="19.28515625" style="11" bestFit="1" customWidth="1"/>
    <col min="15878" max="15878" width="14.85546875" style="11" customWidth="1"/>
    <col min="15879" max="15879" width="20" style="11" customWidth="1"/>
    <col min="15880" max="15880" width="10.28515625" style="11" customWidth="1"/>
    <col min="15881" max="15881" width="11" style="11" bestFit="1" customWidth="1"/>
    <col min="15882" max="15882" width="11.28515625" style="11" customWidth="1"/>
    <col min="15883" max="15883" width="8" style="11" customWidth="1"/>
    <col min="15884" max="15884" width="11.7109375" style="11" customWidth="1"/>
    <col min="15885" max="15885" width="14.28515625" style="11" customWidth="1"/>
    <col min="15886" max="15886" width="7.5703125" style="11" customWidth="1"/>
    <col min="15887" max="15887" width="8.42578125" style="11" customWidth="1"/>
    <col min="15888" max="15888" width="77.42578125" style="11" customWidth="1"/>
    <col min="15889" max="15889" width="6.85546875" style="11" customWidth="1"/>
    <col min="15890" max="15890" width="7.7109375" style="11" customWidth="1"/>
    <col min="15891" max="15891" width="9.28515625" style="11" customWidth="1"/>
    <col min="15892" max="15892" width="14.85546875" style="11" customWidth="1"/>
    <col min="15893" max="15893" width="8.5703125" style="11" customWidth="1"/>
    <col min="15894" max="15894" width="7" style="11" customWidth="1"/>
    <col min="15895" max="15895" width="9.85546875" style="11" customWidth="1"/>
    <col min="15896" max="15896" width="10.85546875" style="11" customWidth="1"/>
    <col min="15897" max="15897" width="19.42578125" style="11" bestFit="1" customWidth="1"/>
    <col min="15898" max="15898" width="18.28515625" style="11" customWidth="1"/>
    <col min="15899" max="15900" width="15.7109375" style="11" bestFit="1" customWidth="1"/>
    <col min="15901" max="15901" width="51.42578125" style="11" customWidth="1"/>
    <col min="15902" max="15902" width="11.5703125" style="11" customWidth="1"/>
    <col min="15903" max="15903" width="46.42578125" style="11" bestFit="1" customWidth="1"/>
    <col min="15904" max="15904" width="35.5703125" style="11" customWidth="1"/>
    <col min="15905" max="15905" width="75.7109375" style="11" customWidth="1"/>
    <col min="15906" max="15906" width="12.85546875" style="11" bestFit="1" customWidth="1"/>
    <col min="15907" max="15907" width="13.28515625" style="11" bestFit="1" customWidth="1"/>
    <col min="15908" max="15908" width="14.28515625" style="11" bestFit="1" customWidth="1"/>
    <col min="15909" max="15910" width="10.7109375" style="11" bestFit="1" customWidth="1"/>
    <col min="15911" max="15911" width="26.140625" style="11" bestFit="1" customWidth="1"/>
    <col min="15912" max="15912" width="75.7109375" style="11" customWidth="1"/>
    <col min="15913" max="15913" width="9.7109375" style="11" bestFit="1" customWidth="1"/>
    <col min="15914" max="16128" width="9.140625" style="11"/>
    <col min="16129" max="16129" width="9.140625" style="11" customWidth="1"/>
    <col min="16130" max="16130" width="7.7109375" style="11" customWidth="1"/>
    <col min="16131" max="16131" width="17.140625" style="11" customWidth="1"/>
    <col min="16132" max="16132" width="15.5703125" style="11" customWidth="1"/>
    <col min="16133" max="16133" width="19.28515625" style="11" bestFit="1" customWidth="1"/>
    <col min="16134" max="16134" width="14.85546875" style="11" customWidth="1"/>
    <col min="16135" max="16135" width="20" style="11" customWidth="1"/>
    <col min="16136" max="16136" width="10.28515625" style="11" customWidth="1"/>
    <col min="16137" max="16137" width="11" style="11" bestFit="1" customWidth="1"/>
    <col min="16138" max="16138" width="11.28515625" style="11" customWidth="1"/>
    <col min="16139" max="16139" width="8" style="11" customWidth="1"/>
    <col min="16140" max="16140" width="11.7109375" style="11" customWidth="1"/>
    <col min="16141" max="16141" width="14.28515625" style="11" customWidth="1"/>
    <col min="16142" max="16142" width="7.5703125" style="11" customWidth="1"/>
    <col min="16143" max="16143" width="8.42578125" style="11" customWidth="1"/>
    <col min="16144" max="16144" width="77.42578125" style="11" customWidth="1"/>
    <col min="16145" max="16145" width="6.85546875" style="11" customWidth="1"/>
    <col min="16146" max="16146" width="7.7109375" style="11" customWidth="1"/>
    <col min="16147" max="16147" width="9.28515625" style="11" customWidth="1"/>
    <col min="16148" max="16148" width="14.85546875" style="11" customWidth="1"/>
    <col min="16149" max="16149" width="8.5703125" style="11" customWidth="1"/>
    <col min="16150" max="16150" width="7" style="11" customWidth="1"/>
    <col min="16151" max="16151" width="9.85546875" style="11" customWidth="1"/>
    <col min="16152" max="16152" width="10.85546875" style="11" customWidth="1"/>
    <col min="16153" max="16153" width="19.42578125" style="11" bestFit="1" customWidth="1"/>
    <col min="16154" max="16154" width="18.28515625" style="11" customWidth="1"/>
    <col min="16155" max="16156" width="15.7109375" style="11" bestFit="1" customWidth="1"/>
    <col min="16157" max="16157" width="51.42578125" style="11" customWidth="1"/>
    <col min="16158" max="16158" width="11.5703125" style="11" customWidth="1"/>
    <col min="16159" max="16159" width="46.42578125" style="11" bestFit="1" customWidth="1"/>
    <col min="16160" max="16160" width="35.5703125" style="11" customWidth="1"/>
    <col min="16161" max="16161" width="75.7109375" style="11" customWidth="1"/>
    <col min="16162" max="16162" width="12.85546875" style="11" bestFit="1" customWidth="1"/>
    <col min="16163" max="16163" width="13.28515625" style="11" bestFit="1" customWidth="1"/>
    <col min="16164" max="16164" width="14.28515625" style="11" bestFit="1" customWidth="1"/>
    <col min="16165" max="16166" width="10.7109375" style="11" bestFit="1" customWidth="1"/>
    <col min="16167" max="16167" width="26.140625" style="11" bestFit="1" customWidth="1"/>
    <col min="16168" max="16168" width="75.7109375" style="11" customWidth="1"/>
    <col min="16169" max="16169" width="9.7109375" style="11" bestFit="1" customWidth="1"/>
    <col min="16170" max="16384" width="9.140625" style="11"/>
  </cols>
  <sheetData>
    <row r="1" spans="1:41" s="6" customFormat="1" ht="48" x14ac:dyDescent="0.25">
      <c r="A1" s="1" t="s">
        <v>2842</v>
      </c>
      <c r="B1" s="4" t="s">
        <v>0</v>
      </c>
      <c r="C1" s="4" t="s">
        <v>1</v>
      </c>
      <c r="D1" s="4" t="s">
        <v>2</v>
      </c>
      <c r="E1" s="4" t="s">
        <v>1478</v>
      </c>
      <c r="F1" s="5" t="s">
        <v>3</v>
      </c>
      <c r="G1" s="5" t="s">
        <v>4</v>
      </c>
      <c r="H1" s="4" t="s">
        <v>5</v>
      </c>
      <c r="I1" s="4" t="s">
        <v>1484</v>
      </c>
      <c r="J1" s="4" t="s">
        <v>6</v>
      </c>
      <c r="K1" s="4" t="s">
        <v>7</v>
      </c>
      <c r="L1" s="4" t="s">
        <v>1300</v>
      </c>
      <c r="M1" s="4" t="s">
        <v>1488</v>
      </c>
      <c r="N1" s="5" t="s">
        <v>8</v>
      </c>
      <c r="O1" s="4" t="s">
        <v>9</v>
      </c>
      <c r="P1" s="5" t="s">
        <v>2841</v>
      </c>
      <c r="Q1" s="4" t="s">
        <v>10</v>
      </c>
      <c r="R1" s="4" t="s">
        <v>11</v>
      </c>
      <c r="S1" s="4" t="s">
        <v>12</v>
      </c>
      <c r="T1" s="4" t="s">
        <v>13</v>
      </c>
      <c r="U1" s="4" t="s">
        <v>14</v>
      </c>
      <c r="V1" s="4" t="s">
        <v>15</v>
      </c>
      <c r="W1" s="4" t="s">
        <v>16</v>
      </c>
      <c r="X1" s="4" t="s">
        <v>17</v>
      </c>
      <c r="Y1" s="4" t="s">
        <v>18</v>
      </c>
      <c r="Z1" s="4" t="s">
        <v>19</v>
      </c>
      <c r="AA1" s="4" t="s">
        <v>20</v>
      </c>
      <c r="AB1" s="4" t="s">
        <v>1485</v>
      </c>
      <c r="AC1" s="4" t="s">
        <v>1486</v>
      </c>
      <c r="AD1" s="4" t="s">
        <v>21</v>
      </c>
      <c r="AE1" s="4" t="s">
        <v>22</v>
      </c>
      <c r="AF1" s="4" t="s">
        <v>23</v>
      </c>
      <c r="AG1" s="4" t="s">
        <v>24</v>
      </c>
      <c r="AH1" s="4" t="s">
        <v>25</v>
      </c>
      <c r="AI1" s="4" t="s">
        <v>26</v>
      </c>
      <c r="AJ1" s="4" t="s">
        <v>27</v>
      </c>
      <c r="AK1" s="4" t="s">
        <v>28</v>
      </c>
      <c r="AL1" s="5" t="s">
        <v>2843</v>
      </c>
      <c r="AM1" s="4" t="s">
        <v>29</v>
      </c>
      <c r="AN1" s="4" t="s">
        <v>2844</v>
      </c>
      <c r="AO1" s="4" t="s">
        <v>30</v>
      </c>
    </row>
    <row r="2" spans="1:41" s="11" customFormat="1" ht="24" x14ac:dyDescent="0.25">
      <c r="A2" s="2">
        <v>1</v>
      </c>
      <c r="B2" s="7" t="s">
        <v>31</v>
      </c>
      <c r="C2" s="7" t="s">
        <v>32</v>
      </c>
      <c r="D2" s="7">
        <v>172</v>
      </c>
      <c r="E2" s="7">
        <v>172</v>
      </c>
      <c r="F2" s="8">
        <v>1</v>
      </c>
      <c r="G2" s="8">
        <v>3</v>
      </c>
      <c r="H2" s="7">
        <v>3</v>
      </c>
      <c r="I2" s="7">
        <v>3</v>
      </c>
      <c r="J2" s="7" t="s">
        <v>35</v>
      </c>
      <c r="K2" s="7">
        <v>1</v>
      </c>
      <c r="L2" s="7" t="s">
        <v>52</v>
      </c>
      <c r="M2" s="7">
        <f t="shared" ref="M2:M65" si="0">IF(L2="n",F2,0)</f>
        <v>1</v>
      </c>
      <c r="N2" s="9" t="s">
        <v>36</v>
      </c>
      <c r="O2" s="7">
        <v>0</v>
      </c>
      <c r="P2" s="9" t="s">
        <v>37</v>
      </c>
      <c r="Q2" s="7" t="s">
        <v>38</v>
      </c>
      <c r="R2" s="7" t="s">
        <v>38</v>
      </c>
      <c r="S2" s="7" t="s">
        <v>39</v>
      </c>
      <c r="T2" s="7"/>
      <c r="U2" s="7"/>
      <c r="V2" s="7"/>
      <c r="W2" s="7"/>
      <c r="X2" s="7">
        <v>30</v>
      </c>
      <c r="Y2" s="7">
        <v>100</v>
      </c>
      <c r="Z2" s="7">
        <v>100</v>
      </c>
      <c r="AA2" s="7">
        <v>66</v>
      </c>
      <c r="AB2" s="7">
        <f t="shared" ref="AB2:AB33" si="1">(U2+X2+Z2)/3</f>
        <v>43.333333333333336</v>
      </c>
      <c r="AC2" s="7">
        <f t="shared" ref="AC2:AC65" si="2">IF(L2="n",AB2,0)</f>
        <v>43.333333333333336</v>
      </c>
      <c r="AD2" s="7"/>
      <c r="AE2" s="7">
        <v>6</v>
      </c>
      <c r="AF2" s="7" t="s">
        <v>40</v>
      </c>
      <c r="AG2" s="7"/>
      <c r="AH2" s="7"/>
      <c r="AI2" s="7"/>
      <c r="AJ2" s="7" t="s">
        <v>41</v>
      </c>
      <c r="AK2" s="7"/>
      <c r="AL2" s="9" t="s">
        <v>38</v>
      </c>
      <c r="AM2" s="7" t="s">
        <v>42</v>
      </c>
      <c r="AN2" s="7" t="s">
        <v>42</v>
      </c>
      <c r="AO2" s="10" t="s">
        <v>2511</v>
      </c>
    </row>
    <row r="3" spans="1:41" s="11" customFormat="1" x14ac:dyDescent="0.25">
      <c r="A3" s="2">
        <v>2</v>
      </c>
      <c r="B3" s="7" t="s">
        <v>43</v>
      </c>
      <c r="C3" s="7" t="s">
        <v>44</v>
      </c>
      <c r="D3" s="7" t="s">
        <v>45</v>
      </c>
      <c r="E3" s="7">
        <f>135+27+21+8+7</f>
        <v>198</v>
      </c>
      <c r="F3" s="8">
        <v>1</v>
      </c>
      <c r="G3" s="8">
        <v>9</v>
      </c>
      <c r="H3" s="7">
        <v>9</v>
      </c>
      <c r="I3" s="7">
        <v>9</v>
      </c>
      <c r="J3" s="7" t="s">
        <v>35</v>
      </c>
      <c r="K3" s="7">
        <v>1</v>
      </c>
      <c r="L3" s="7" t="s">
        <v>52</v>
      </c>
      <c r="M3" s="7">
        <f t="shared" si="0"/>
        <v>1</v>
      </c>
      <c r="N3" s="9" t="s">
        <v>36</v>
      </c>
      <c r="O3" s="7">
        <v>1</v>
      </c>
      <c r="P3" s="9" t="s">
        <v>36</v>
      </c>
      <c r="Q3" s="7" t="s">
        <v>38</v>
      </c>
      <c r="R3" s="7" t="s">
        <v>38</v>
      </c>
      <c r="S3" s="10" t="s">
        <v>1492</v>
      </c>
      <c r="T3" s="7"/>
      <c r="U3" s="7"/>
      <c r="V3" s="7"/>
      <c r="W3" s="7"/>
      <c r="X3" s="7">
        <v>25</v>
      </c>
      <c r="Y3" s="7">
        <v>100</v>
      </c>
      <c r="Z3" s="7">
        <v>100</v>
      </c>
      <c r="AA3" s="7">
        <v>57</v>
      </c>
      <c r="AB3" s="7">
        <f t="shared" si="1"/>
        <v>41.666666666666664</v>
      </c>
      <c r="AC3" s="7">
        <f t="shared" si="2"/>
        <v>41.666666666666664</v>
      </c>
      <c r="AD3" s="7">
        <v>1</v>
      </c>
      <c r="AE3" s="7">
        <v>1</v>
      </c>
      <c r="AF3" s="7" t="s">
        <v>40</v>
      </c>
      <c r="AG3" s="7"/>
      <c r="AH3" s="7" t="s">
        <v>38</v>
      </c>
      <c r="AI3" s="7"/>
      <c r="AJ3" s="7" t="s">
        <v>48</v>
      </c>
      <c r="AK3" s="7"/>
      <c r="AL3" s="9" t="s">
        <v>38</v>
      </c>
      <c r="AM3" s="7" t="s">
        <v>42</v>
      </c>
      <c r="AN3" s="7" t="s">
        <v>42</v>
      </c>
      <c r="AO3" s="7"/>
    </row>
    <row r="4" spans="1:41" s="11" customFormat="1" ht="24" x14ac:dyDescent="0.25">
      <c r="A4" s="2">
        <v>3</v>
      </c>
      <c r="B4" s="7" t="s">
        <v>49</v>
      </c>
      <c r="C4" s="7" t="s">
        <v>50</v>
      </c>
      <c r="D4" s="7">
        <v>122</v>
      </c>
      <c r="E4" s="7">
        <v>122</v>
      </c>
      <c r="F4" s="8">
        <v>1</v>
      </c>
      <c r="G4" s="8">
        <v>1</v>
      </c>
      <c r="H4" s="7">
        <v>1</v>
      </c>
      <c r="I4" s="7">
        <v>1</v>
      </c>
      <c r="J4" s="7" t="s">
        <v>1489</v>
      </c>
      <c r="K4" s="7">
        <v>1</v>
      </c>
      <c r="L4" s="7" t="s">
        <v>52</v>
      </c>
      <c r="M4" s="7">
        <f t="shared" si="0"/>
        <v>1</v>
      </c>
      <c r="N4" s="9" t="s">
        <v>34</v>
      </c>
      <c r="O4" s="7">
        <v>0</v>
      </c>
      <c r="P4" s="9" t="s">
        <v>34</v>
      </c>
      <c r="Q4" s="7" t="s">
        <v>38</v>
      </c>
      <c r="R4" s="7" t="s">
        <v>38</v>
      </c>
      <c r="S4" s="10" t="s">
        <v>1493</v>
      </c>
      <c r="T4" s="7"/>
      <c r="U4" s="7"/>
      <c r="V4" s="7"/>
      <c r="W4" s="7"/>
      <c r="X4" s="7">
        <v>15</v>
      </c>
      <c r="Y4" s="7">
        <v>100</v>
      </c>
      <c r="Z4" s="7">
        <v>100</v>
      </c>
      <c r="AA4" s="7">
        <v>57</v>
      </c>
      <c r="AB4" s="7">
        <f t="shared" si="1"/>
        <v>38.333333333333336</v>
      </c>
      <c r="AC4" s="7">
        <f t="shared" si="2"/>
        <v>38.333333333333336</v>
      </c>
      <c r="AD4" s="7"/>
      <c r="AE4" s="7">
        <v>2</v>
      </c>
      <c r="AF4" s="7" t="s">
        <v>40</v>
      </c>
      <c r="AG4" s="7"/>
      <c r="AH4" s="7"/>
      <c r="AI4" s="7"/>
      <c r="AJ4" s="7"/>
      <c r="AK4" s="7"/>
      <c r="AL4" s="9" t="s">
        <v>38</v>
      </c>
      <c r="AM4" s="7" t="s">
        <v>42</v>
      </c>
      <c r="AN4" s="7" t="s">
        <v>42</v>
      </c>
      <c r="AO4" s="10" t="s">
        <v>2512</v>
      </c>
    </row>
    <row r="5" spans="1:41" s="11" customFormat="1" ht="24" x14ac:dyDescent="0.25">
      <c r="A5" s="2">
        <v>4</v>
      </c>
      <c r="B5" s="7" t="s">
        <v>49</v>
      </c>
      <c r="C5" s="7" t="s">
        <v>50</v>
      </c>
      <c r="D5" s="7">
        <v>138</v>
      </c>
      <c r="E5" s="7">
        <v>138</v>
      </c>
      <c r="F5" s="8">
        <v>1</v>
      </c>
      <c r="G5" s="8">
        <v>1</v>
      </c>
      <c r="H5" s="7">
        <v>1</v>
      </c>
      <c r="I5" s="7">
        <v>1</v>
      </c>
      <c r="J5" s="7" t="s">
        <v>35</v>
      </c>
      <c r="K5" s="7">
        <v>1</v>
      </c>
      <c r="L5" s="7" t="s">
        <v>52</v>
      </c>
      <c r="M5" s="7">
        <f t="shared" si="0"/>
        <v>1</v>
      </c>
      <c r="N5" s="9" t="s">
        <v>36</v>
      </c>
      <c r="O5" s="7">
        <v>0</v>
      </c>
      <c r="P5" s="9" t="s">
        <v>33</v>
      </c>
      <c r="Q5" s="7" t="s">
        <v>38</v>
      </c>
      <c r="R5" s="7" t="s">
        <v>38</v>
      </c>
      <c r="S5" s="10" t="s">
        <v>1494</v>
      </c>
      <c r="T5" s="7"/>
      <c r="U5" s="7"/>
      <c r="V5" s="7"/>
      <c r="W5" s="7"/>
      <c r="X5" s="7">
        <v>15</v>
      </c>
      <c r="Y5" s="7">
        <v>100</v>
      </c>
      <c r="Z5" s="7">
        <v>100</v>
      </c>
      <c r="AA5" s="7">
        <v>70</v>
      </c>
      <c r="AB5" s="7">
        <f t="shared" si="1"/>
        <v>38.333333333333336</v>
      </c>
      <c r="AC5" s="7">
        <f t="shared" si="2"/>
        <v>38.333333333333336</v>
      </c>
      <c r="AD5" s="7"/>
      <c r="AE5" s="7">
        <v>2</v>
      </c>
      <c r="AF5" s="7" t="s">
        <v>40</v>
      </c>
      <c r="AG5" s="7"/>
      <c r="AH5" s="7"/>
      <c r="AI5" s="7"/>
      <c r="AJ5" s="7" t="s">
        <v>41</v>
      </c>
      <c r="AK5" s="7"/>
      <c r="AL5" s="9" t="s">
        <v>38</v>
      </c>
      <c r="AM5" s="7" t="s">
        <v>42</v>
      </c>
      <c r="AN5" s="7" t="s">
        <v>42</v>
      </c>
      <c r="AO5" s="10" t="s">
        <v>2513</v>
      </c>
    </row>
    <row r="6" spans="1:41" s="11" customFormat="1" x14ac:dyDescent="0.25">
      <c r="A6" s="2">
        <v>5</v>
      </c>
      <c r="B6" s="7" t="s">
        <v>53</v>
      </c>
      <c r="C6" s="7" t="s">
        <v>50</v>
      </c>
      <c r="D6" s="7">
        <v>35</v>
      </c>
      <c r="E6" s="7">
        <v>35</v>
      </c>
      <c r="F6" s="8">
        <v>1</v>
      </c>
      <c r="G6" s="8">
        <v>1</v>
      </c>
      <c r="H6" s="7">
        <v>1</v>
      </c>
      <c r="I6" s="7">
        <v>1</v>
      </c>
      <c r="J6" s="7" t="s">
        <v>35</v>
      </c>
      <c r="K6" s="7">
        <v>2</v>
      </c>
      <c r="L6" s="7" t="s">
        <v>52</v>
      </c>
      <c r="M6" s="7">
        <f t="shared" si="0"/>
        <v>1</v>
      </c>
      <c r="N6" s="9" t="s">
        <v>36</v>
      </c>
      <c r="O6" s="7">
        <v>0</v>
      </c>
      <c r="P6" s="9" t="s">
        <v>33</v>
      </c>
      <c r="Q6" s="7" t="s">
        <v>38</v>
      </c>
      <c r="R6" s="7" t="s">
        <v>38</v>
      </c>
      <c r="S6" s="10" t="s">
        <v>1495</v>
      </c>
      <c r="T6" s="7"/>
      <c r="U6" s="7"/>
      <c r="V6" s="7"/>
      <c r="W6" s="7"/>
      <c r="X6" s="7">
        <v>5</v>
      </c>
      <c r="Y6" s="7">
        <v>100</v>
      </c>
      <c r="Z6" s="7">
        <v>100</v>
      </c>
      <c r="AA6" s="7">
        <v>42</v>
      </c>
      <c r="AB6" s="7">
        <f t="shared" si="1"/>
        <v>35</v>
      </c>
      <c r="AC6" s="7">
        <f t="shared" si="2"/>
        <v>35</v>
      </c>
      <c r="AD6" s="7"/>
      <c r="AE6" s="7">
        <v>1</v>
      </c>
      <c r="AF6" s="7" t="s">
        <v>40</v>
      </c>
      <c r="AG6" s="7"/>
      <c r="AH6" s="7" t="s">
        <v>38</v>
      </c>
      <c r="AI6" s="7"/>
      <c r="AJ6" s="7" t="s">
        <v>56</v>
      </c>
      <c r="AK6" s="7"/>
      <c r="AL6" s="9"/>
      <c r="AM6" s="7" t="s">
        <v>42</v>
      </c>
      <c r="AN6" s="7" t="s">
        <v>42</v>
      </c>
      <c r="AO6" s="7"/>
    </row>
    <row r="7" spans="1:41" s="11" customFormat="1" ht="24" x14ac:dyDescent="0.25">
      <c r="A7" s="2">
        <v>6</v>
      </c>
      <c r="B7" s="7" t="s">
        <v>57</v>
      </c>
      <c r="C7" s="7" t="s">
        <v>50</v>
      </c>
      <c r="D7" s="7">
        <v>102</v>
      </c>
      <c r="E7" s="7">
        <v>102</v>
      </c>
      <c r="F7" s="8">
        <v>1</v>
      </c>
      <c r="G7" s="8">
        <v>1</v>
      </c>
      <c r="H7" s="7">
        <v>1</v>
      </c>
      <c r="I7" s="7">
        <v>1</v>
      </c>
      <c r="J7" s="7" t="s">
        <v>35</v>
      </c>
      <c r="K7" s="7">
        <v>2</v>
      </c>
      <c r="L7" s="7" t="s">
        <v>52</v>
      </c>
      <c r="M7" s="7">
        <f t="shared" si="0"/>
        <v>1</v>
      </c>
      <c r="N7" s="9" t="s">
        <v>34</v>
      </c>
      <c r="O7" s="7">
        <v>0</v>
      </c>
      <c r="P7" s="9" t="s">
        <v>37</v>
      </c>
      <c r="Q7" s="7" t="s">
        <v>38</v>
      </c>
      <c r="R7" s="7" t="s">
        <v>38</v>
      </c>
      <c r="S7" s="10" t="s">
        <v>1496</v>
      </c>
      <c r="T7" s="7"/>
      <c r="U7" s="7"/>
      <c r="V7" s="7"/>
      <c r="W7" s="7"/>
      <c r="X7" s="7"/>
      <c r="Y7" s="7">
        <v>30</v>
      </c>
      <c r="Z7" s="7">
        <v>30</v>
      </c>
      <c r="AA7" s="7">
        <v>110</v>
      </c>
      <c r="AB7" s="7">
        <f t="shared" si="1"/>
        <v>10</v>
      </c>
      <c r="AC7" s="7">
        <f t="shared" si="2"/>
        <v>10</v>
      </c>
      <c r="AD7" s="7"/>
      <c r="AE7" s="7"/>
      <c r="AF7" s="7"/>
      <c r="AG7" s="7"/>
      <c r="AH7" s="7"/>
      <c r="AI7" s="7" t="s">
        <v>58</v>
      </c>
      <c r="AJ7" s="7" t="s">
        <v>59</v>
      </c>
      <c r="AK7" s="7"/>
      <c r="AL7" s="9"/>
      <c r="AM7" s="7" t="s">
        <v>60</v>
      </c>
      <c r="AN7" s="7" t="s">
        <v>2845</v>
      </c>
      <c r="AO7" s="7"/>
    </row>
    <row r="8" spans="1:41" s="11" customFormat="1" x14ac:dyDescent="0.25">
      <c r="A8" s="2">
        <v>7</v>
      </c>
      <c r="B8" s="7" t="s">
        <v>61</v>
      </c>
      <c r="C8" s="7" t="s">
        <v>44</v>
      </c>
      <c r="D8" s="7" t="s">
        <v>62</v>
      </c>
      <c r="E8" s="7">
        <v>80</v>
      </c>
      <c r="F8" s="8">
        <v>1</v>
      </c>
      <c r="G8" s="8">
        <v>3</v>
      </c>
      <c r="H8" s="7">
        <v>3</v>
      </c>
      <c r="I8" s="7">
        <v>3</v>
      </c>
      <c r="J8" s="7" t="s">
        <v>35</v>
      </c>
      <c r="K8" s="7">
        <v>2</v>
      </c>
      <c r="L8" s="7" t="s">
        <v>52</v>
      </c>
      <c r="M8" s="7">
        <f t="shared" si="0"/>
        <v>1</v>
      </c>
      <c r="N8" s="9" t="s">
        <v>34</v>
      </c>
      <c r="O8" s="7">
        <v>0</v>
      </c>
      <c r="P8" s="9" t="s">
        <v>63</v>
      </c>
      <c r="Q8" s="7" t="s">
        <v>38</v>
      </c>
      <c r="R8" s="7" t="s">
        <v>38</v>
      </c>
      <c r="S8" s="10" t="s">
        <v>1497</v>
      </c>
      <c r="T8" s="7">
        <v>45</v>
      </c>
      <c r="U8" s="7">
        <v>45</v>
      </c>
      <c r="V8" s="7">
        <v>80</v>
      </c>
      <c r="W8" s="7" t="s">
        <v>64</v>
      </c>
      <c r="X8" s="7">
        <v>70</v>
      </c>
      <c r="Y8" s="7"/>
      <c r="Z8" s="7"/>
      <c r="AA8" s="7"/>
      <c r="AB8" s="7">
        <f t="shared" si="1"/>
        <v>38.333333333333336</v>
      </c>
      <c r="AC8" s="7">
        <f t="shared" si="2"/>
        <v>38.333333333333336</v>
      </c>
      <c r="AD8" s="7"/>
      <c r="AE8" s="7"/>
      <c r="AF8" s="7"/>
      <c r="AG8" s="7"/>
      <c r="AH8" s="7"/>
      <c r="AI8" s="7"/>
      <c r="AJ8" s="7"/>
      <c r="AK8" s="7"/>
      <c r="AL8" s="9" t="s">
        <v>38</v>
      </c>
      <c r="AM8" s="7" t="s">
        <v>65</v>
      </c>
      <c r="AN8" s="7" t="s">
        <v>2846</v>
      </c>
      <c r="AO8" s="10" t="s">
        <v>2514</v>
      </c>
    </row>
    <row r="9" spans="1:41" s="11" customFormat="1" ht="24" x14ac:dyDescent="0.25">
      <c r="A9" s="2">
        <v>8</v>
      </c>
      <c r="B9" s="7" t="s">
        <v>49</v>
      </c>
      <c r="C9" s="7" t="s">
        <v>50</v>
      </c>
      <c r="D9" s="7">
        <v>146</v>
      </c>
      <c r="E9" s="7">
        <v>146</v>
      </c>
      <c r="F9" s="8">
        <v>1</v>
      </c>
      <c r="G9" s="8">
        <v>1</v>
      </c>
      <c r="H9" s="7">
        <v>1</v>
      </c>
      <c r="I9" s="7">
        <v>1</v>
      </c>
      <c r="J9" s="7" t="s">
        <v>35</v>
      </c>
      <c r="K9" s="7">
        <v>2</v>
      </c>
      <c r="L9" s="7" t="s">
        <v>52</v>
      </c>
      <c r="M9" s="7">
        <f t="shared" si="0"/>
        <v>1</v>
      </c>
      <c r="N9" s="9" t="s">
        <v>36</v>
      </c>
      <c r="O9" s="7">
        <v>0</v>
      </c>
      <c r="P9" s="9" t="s">
        <v>34</v>
      </c>
      <c r="Q9" s="7" t="s">
        <v>52</v>
      </c>
      <c r="R9" s="7" t="s">
        <v>38</v>
      </c>
      <c r="S9" s="10" t="s">
        <v>1498</v>
      </c>
      <c r="T9" s="7"/>
      <c r="U9" s="7"/>
      <c r="V9" s="7"/>
      <c r="W9" s="7"/>
      <c r="X9" s="7"/>
      <c r="Y9" s="7">
        <v>100</v>
      </c>
      <c r="Z9" s="7">
        <v>100</v>
      </c>
      <c r="AA9" s="7">
        <v>81</v>
      </c>
      <c r="AB9" s="7">
        <f t="shared" si="1"/>
        <v>33.333333333333336</v>
      </c>
      <c r="AC9" s="7">
        <f t="shared" si="2"/>
        <v>33.333333333333336</v>
      </c>
      <c r="AD9" s="7"/>
      <c r="AE9" s="7"/>
      <c r="AF9" s="7"/>
      <c r="AG9" s="7"/>
      <c r="AH9" s="7"/>
      <c r="AI9" s="7"/>
      <c r="AJ9" s="7" t="s">
        <v>66</v>
      </c>
      <c r="AK9" s="7"/>
      <c r="AL9" s="9"/>
      <c r="AM9" s="7" t="s">
        <v>67</v>
      </c>
      <c r="AN9" s="7" t="s">
        <v>2847</v>
      </c>
      <c r="AO9" s="10" t="s">
        <v>2515</v>
      </c>
    </row>
    <row r="10" spans="1:41" s="11" customFormat="1" x14ac:dyDescent="0.25">
      <c r="A10" s="2">
        <v>9</v>
      </c>
      <c r="B10" s="7" t="s">
        <v>68</v>
      </c>
      <c r="C10" s="7" t="s">
        <v>50</v>
      </c>
      <c r="D10" s="7">
        <v>127</v>
      </c>
      <c r="E10" s="7">
        <v>127</v>
      </c>
      <c r="F10" s="8">
        <v>1</v>
      </c>
      <c r="G10" s="8">
        <v>1</v>
      </c>
      <c r="H10" s="7">
        <v>1</v>
      </c>
      <c r="I10" s="7">
        <v>1</v>
      </c>
      <c r="J10" s="7" t="s">
        <v>35</v>
      </c>
      <c r="K10" s="7">
        <v>1</v>
      </c>
      <c r="L10" s="7" t="s">
        <v>52</v>
      </c>
      <c r="M10" s="7">
        <f t="shared" si="0"/>
        <v>1</v>
      </c>
      <c r="N10" s="9" t="s">
        <v>36</v>
      </c>
      <c r="O10" s="7">
        <v>1</v>
      </c>
      <c r="P10" s="9" t="s">
        <v>33</v>
      </c>
      <c r="Q10" s="7" t="s">
        <v>38</v>
      </c>
      <c r="R10" s="7" t="s">
        <v>38</v>
      </c>
      <c r="S10" s="10" t="s">
        <v>1499</v>
      </c>
      <c r="T10" s="7"/>
      <c r="U10" s="7"/>
      <c r="V10" s="7"/>
      <c r="W10" s="7"/>
      <c r="X10" s="7"/>
      <c r="Y10" s="7">
        <v>100</v>
      </c>
      <c r="Z10" s="7">
        <v>100</v>
      </c>
      <c r="AA10" s="7">
        <v>66</v>
      </c>
      <c r="AB10" s="7">
        <f t="shared" si="1"/>
        <v>33.333333333333336</v>
      </c>
      <c r="AC10" s="7">
        <f t="shared" si="2"/>
        <v>33.333333333333336</v>
      </c>
      <c r="AD10" s="7"/>
      <c r="AE10" s="7"/>
      <c r="AF10" s="7"/>
      <c r="AG10" s="7"/>
      <c r="AH10" s="7"/>
      <c r="AI10" s="7"/>
      <c r="AJ10" s="7"/>
      <c r="AK10" s="7"/>
      <c r="AL10" s="9"/>
      <c r="AM10" s="7" t="s">
        <v>42</v>
      </c>
      <c r="AN10" s="7" t="s">
        <v>42</v>
      </c>
      <c r="AO10" s="7"/>
    </row>
    <row r="11" spans="1:41" s="11" customFormat="1" x14ac:dyDescent="0.25">
      <c r="A11" s="2">
        <v>10</v>
      </c>
      <c r="B11" s="7" t="s">
        <v>69</v>
      </c>
      <c r="C11" s="7" t="s">
        <v>50</v>
      </c>
      <c r="D11" s="7">
        <v>49</v>
      </c>
      <c r="E11" s="7">
        <v>49</v>
      </c>
      <c r="F11" s="8">
        <v>1</v>
      </c>
      <c r="G11" s="8">
        <v>1</v>
      </c>
      <c r="H11" s="7">
        <v>1</v>
      </c>
      <c r="I11" s="7">
        <v>1</v>
      </c>
      <c r="J11" s="7" t="s">
        <v>70</v>
      </c>
      <c r="K11" s="7">
        <v>2</v>
      </c>
      <c r="L11" s="7" t="s">
        <v>52</v>
      </c>
      <c r="M11" s="7">
        <f t="shared" si="0"/>
        <v>1</v>
      </c>
      <c r="N11" s="9" t="s">
        <v>34</v>
      </c>
      <c r="O11" s="7">
        <v>0</v>
      </c>
      <c r="P11" s="9" t="s">
        <v>33</v>
      </c>
      <c r="Q11" s="7" t="s">
        <v>38</v>
      </c>
      <c r="R11" s="7" t="s">
        <v>38</v>
      </c>
      <c r="S11" s="10" t="s">
        <v>1500</v>
      </c>
      <c r="T11" s="7"/>
      <c r="U11" s="7"/>
      <c r="V11" s="7"/>
      <c r="W11" s="7"/>
      <c r="X11" s="7"/>
      <c r="Y11" s="7">
        <v>30</v>
      </c>
      <c r="Z11" s="7">
        <v>30</v>
      </c>
      <c r="AA11" s="7">
        <v>80</v>
      </c>
      <c r="AB11" s="7">
        <f t="shared" si="1"/>
        <v>10</v>
      </c>
      <c r="AC11" s="7">
        <f t="shared" si="2"/>
        <v>10</v>
      </c>
      <c r="AD11" s="7"/>
      <c r="AE11" s="7"/>
      <c r="AF11" s="7"/>
      <c r="AG11" s="7"/>
      <c r="AH11" s="7"/>
      <c r="AI11" s="7"/>
      <c r="AJ11" s="7" t="s">
        <v>41</v>
      </c>
      <c r="AK11" s="7"/>
      <c r="AL11" s="9"/>
      <c r="AM11" s="7" t="s">
        <v>71</v>
      </c>
      <c r="AN11" s="7" t="s">
        <v>71</v>
      </c>
      <c r="AO11" s="7"/>
    </row>
    <row r="12" spans="1:41" s="11" customFormat="1" x14ac:dyDescent="0.25">
      <c r="A12" s="2">
        <v>11</v>
      </c>
      <c r="B12" s="7" t="s">
        <v>49</v>
      </c>
      <c r="C12" s="7" t="s">
        <v>50</v>
      </c>
      <c r="D12" s="7">
        <v>82</v>
      </c>
      <c r="E12" s="7">
        <v>82</v>
      </c>
      <c r="F12" s="8">
        <v>1</v>
      </c>
      <c r="G12" s="8">
        <v>1</v>
      </c>
      <c r="H12" s="7">
        <v>1</v>
      </c>
      <c r="I12" s="7">
        <v>1</v>
      </c>
      <c r="J12" s="7" t="s">
        <v>35</v>
      </c>
      <c r="K12" s="7">
        <v>1</v>
      </c>
      <c r="L12" s="7" t="s">
        <v>52</v>
      </c>
      <c r="M12" s="7">
        <f t="shared" si="0"/>
        <v>1</v>
      </c>
      <c r="N12" s="9" t="s">
        <v>36</v>
      </c>
      <c r="O12" s="7">
        <v>0</v>
      </c>
      <c r="P12" s="9" t="s">
        <v>37</v>
      </c>
      <c r="Q12" s="7" t="s">
        <v>38</v>
      </c>
      <c r="R12" s="7" t="s">
        <v>38</v>
      </c>
      <c r="S12" s="10" t="s">
        <v>1501</v>
      </c>
      <c r="T12" s="7"/>
      <c r="U12" s="7"/>
      <c r="V12" s="7"/>
      <c r="W12" s="7"/>
      <c r="X12" s="7"/>
      <c r="Y12" s="7">
        <v>55</v>
      </c>
      <c r="Z12" s="7">
        <v>55</v>
      </c>
      <c r="AA12" s="7">
        <v>68</v>
      </c>
      <c r="AB12" s="7">
        <f t="shared" si="1"/>
        <v>18.333333333333332</v>
      </c>
      <c r="AC12" s="7">
        <f t="shared" si="2"/>
        <v>18.333333333333332</v>
      </c>
      <c r="AD12" s="7"/>
      <c r="AE12" s="7"/>
      <c r="AF12" s="7"/>
      <c r="AG12" s="7"/>
      <c r="AH12" s="7"/>
      <c r="AI12" s="7"/>
      <c r="AJ12" s="7"/>
      <c r="AK12" s="7"/>
      <c r="AL12" s="9"/>
      <c r="AM12" s="7" t="s">
        <v>42</v>
      </c>
      <c r="AN12" s="7" t="s">
        <v>42</v>
      </c>
      <c r="AO12" s="7"/>
    </row>
    <row r="13" spans="1:41" s="11" customFormat="1" ht="24" x14ac:dyDescent="0.25">
      <c r="A13" s="2">
        <v>12</v>
      </c>
      <c r="B13" s="7" t="s">
        <v>72</v>
      </c>
      <c r="C13" s="7" t="s">
        <v>50</v>
      </c>
      <c r="D13" s="7">
        <v>40</v>
      </c>
      <c r="E13" s="7">
        <v>40</v>
      </c>
      <c r="F13" s="8">
        <v>1</v>
      </c>
      <c r="G13" s="8">
        <v>1</v>
      </c>
      <c r="H13" s="7">
        <v>1</v>
      </c>
      <c r="I13" s="7">
        <v>1</v>
      </c>
      <c r="J13" s="7" t="s">
        <v>35</v>
      </c>
      <c r="K13" s="7">
        <v>1</v>
      </c>
      <c r="L13" s="7" t="s">
        <v>52</v>
      </c>
      <c r="M13" s="7">
        <f t="shared" si="0"/>
        <v>1</v>
      </c>
      <c r="N13" s="9" t="s">
        <v>34</v>
      </c>
      <c r="O13" s="7">
        <v>0</v>
      </c>
      <c r="P13" s="9" t="s">
        <v>33</v>
      </c>
      <c r="Q13" s="7" t="s">
        <v>38</v>
      </c>
      <c r="R13" s="7" t="s">
        <v>38</v>
      </c>
      <c r="S13" s="10" t="s">
        <v>1502</v>
      </c>
      <c r="T13" s="7"/>
      <c r="U13" s="7"/>
      <c r="V13" s="7"/>
      <c r="W13" s="7"/>
      <c r="X13" s="7"/>
      <c r="Y13" s="7">
        <v>30</v>
      </c>
      <c r="Z13" s="7">
        <v>30</v>
      </c>
      <c r="AA13" s="7">
        <v>75</v>
      </c>
      <c r="AB13" s="7">
        <f t="shared" si="1"/>
        <v>10</v>
      </c>
      <c r="AC13" s="7">
        <f t="shared" si="2"/>
        <v>10</v>
      </c>
      <c r="AD13" s="7"/>
      <c r="AE13" s="7"/>
      <c r="AF13" s="7"/>
      <c r="AG13" s="7"/>
      <c r="AH13" s="7"/>
      <c r="AI13" s="7"/>
      <c r="AJ13" s="7"/>
      <c r="AK13" s="7"/>
      <c r="AL13" s="9"/>
      <c r="AM13" s="7" t="s">
        <v>71</v>
      </c>
      <c r="AN13" s="7" t="s">
        <v>71</v>
      </c>
      <c r="AO13" s="7"/>
    </row>
    <row r="14" spans="1:41" s="11" customFormat="1" ht="24" x14ac:dyDescent="0.25">
      <c r="A14" s="2">
        <v>13</v>
      </c>
      <c r="B14" s="7" t="s">
        <v>73</v>
      </c>
      <c r="C14" s="7" t="s">
        <v>50</v>
      </c>
      <c r="D14" s="7">
        <v>27</v>
      </c>
      <c r="E14" s="7">
        <v>27</v>
      </c>
      <c r="F14" s="8">
        <v>1</v>
      </c>
      <c r="G14" s="8">
        <v>1</v>
      </c>
      <c r="H14" s="7">
        <v>1</v>
      </c>
      <c r="I14" s="7">
        <v>1</v>
      </c>
      <c r="J14" s="7" t="s">
        <v>35</v>
      </c>
      <c r="K14" s="7">
        <v>2</v>
      </c>
      <c r="L14" s="7" t="s">
        <v>52</v>
      </c>
      <c r="M14" s="7">
        <f t="shared" si="0"/>
        <v>1</v>
      </c>
      <c r="N14" s="9" t="s">
        <v>36</v>
      </c>
      <c r="O14" s="7">
        <v>0</v>
      </c>
      <c r="P14" s="9" t="s">
        <v>63</v>
      </c>
      <c r="Q14" s="7" t="s">
        <v>38</v>
      </c>
      <c r="R14" s="7" t="s">
        <v>38</v>
      </c>
      <c r="S14" s="10" t="s">
        <v>1503</v>
      </c>
      <c r="T14" s="7"/>
      <c r="U14" s="7"/>
      <c r="V14" s="7"/>
      <c r="W14" s="7"/>
      <c r="X14" s="7"/>
      <c r="Y14" s="7">
        <v>35</v>
      </c>
      <c r="Z14" s="7">
        <v>35</v>
      </c>
      <c r="AA14" s="7">
        <v>65</v>
      </c>
      <c r="AB14" s="7">
        <f t="shared" si="1"/>
        <v>11.666666666666666</v>
      </c>
      <c r="AC14" s="7">
        <f t="shared" si="2"/>
        <v>11.666666666666666</v>
      </c>
      <c r="AD14" s="7"/>
      <c r="AE14" s="7"/>
      <c r="AF14" s="7"/>
      <c r="AG14" s="7"/>
      <c r="AH14" s="7"/>
      <c r="AI14" s="7"/>
      <c r="AJ14" s="7"/>
      <c r="AK14" s="7"/>
      <c r="AL14" s="9"/>
      <c r="AM14" s="7" t="s">
        <v>42</v>
      </c>
      <c r="AN14" s="7" t="s">
        <v>42</v>
      </c>
      <c r="AO14" s="7"/>
    </row>
    <row r="15" spans="1:41" s="11" customFormat="1" ht="24" x14ac:dyDescent="0.25">
      <c r="A15" s="2">
        <v>14</v>
      </c>
      <c r="B15" s="7" t="s">
        <v>43</v>
      </c>
      <c r="C15" s="7" t="s">
        <v>50</v>
      </c>
      <c r="D15" s="7">
        <v>98</v>
      </c>
      <c r="E15" s="7">
        <v>98</v>
      </c>
      <c r="F15" s="8">
        <v>1</v>
      </c>
      <c r="G15" s="8">
        <v>1</v>
      </c>
      <c r="H15" s="7">
        <v>1</v>
      </c>
      <c r="I15" s="7">
        <v>1</v>
      </c>
      <c r="J15" s="7" t="s">
        <v>35</v>
      </c>
      <c r="K15" s="7">
        <v>2</v>
      </c>
      <c r="L15" s="7" t="s">
        <v>52</v>
      </c>
      <c r="M15" s="7">
        <f t="shared" si="0"/>
        <v>1</v>
      </c>
      <c r="N15" s="9" t="s">
        <v>34</v>
      </c>
      <c r="O15" s="7">
        <v>1</v>
      </c>
      <c r="P15" s="9" t="s">
        <v>33</v>
      </c>
      <c r="Q15" s="7" t="s">
        <v>38</v>
      </c>
      <c r="R15" s="7" t="s">
        <v>38</v>
      </c>
      <c r="S15" s="10" t="s">
        <v>1504</v>
      </c>
      <c r="T15" s="7"/>
      <c r="U15" s="7"/>
      <c r="V15" s="7"/>
      <c r="W15" s="7"/>
      <c r="X15" s="7"/>
      <c r="Y15" s="7">
        <v>25</v>
      </c>
      <c r="Z15" s="7">
        <v>25</v>
      </c>
      <c r="AA15" s="7">
        <v>105</v>
      </c>
      <c r="AB15" s="7">
        <f t="shared" si="1"/>
        <v>8.3333333333333339</v>
      </c>
      <c r="AC15" s="7">
        <f t="shared" si="2"/>
        <v>8.3333333333333339</v>
      </c>
      <c r="AD15" s="7"/>
      <c r="AE15" s="7"/>
      <c r="AF15" s="7"/>
      <c r="AG15" s="7"/>
      <c r="AH15" s="7"/>
      <c r="AI15" s="7"/>
      <c r="AJ15" s="10" t="s">
        <v>2337</v>
      </c>
      <c r="AK15" s="7"/>
      <c r="AL15" s="9"/>
      <c r="AM15" s="7" t="s">
        <v>71</v>
      </c>
      <c r="AN15" s="7" t="s">
        <v>71</v>
      </c>
      <c r="AO15" s="7"/>
    </row>
    <row r="16" spans="1:41" s="11" customFormat="1" ht="24" x14ac:dyDescent="0.25">
      <c r="A16" s="2">
        <v>15</v>
      </c>
      <c r="B16" s="7" t="s">
        <v>43</v>
      </c>
      <c r="C16" s="7" t="s">
        <v>50</v>
      </c>
      <c r="D16" s="7">
        <v>46</v>
      </c>
      <c r="E16" s="7">
        <v>46</v>
      </c>
      <c r="F16" s="8">
        <v>1</v>
      </c>
      <c r="G16" s="8">
        <v>1</v>
      </c>
      <c r="H16" s="7">
        <v>1</v>
      </c>
      <c r="I16" s="7">
        <v>1</v>
      </c>
      <c r="J16" s="7" t="s">
        <v>35</v>
      </c>
      <c r="K16" s="7">
        <v>2</v>
      </c>
      <c r="L16" s="7" t="s">
        <v>52</v>
      </c>
      <c r="M16" s="7">
        <f t="shared" si="0"/>
        <v>1</v>
      </c>
      <c r="N16" s="9" t="s">
        <v>34</v>
      </c>
      <c r="O16" s="7">
        <v>0</v>
      </c>
      <c r="P16" s="9" t="s">
        <v>63</v>
      </c>
      <c r="Q16" s="7" t="s">
        <v>38</v>
      </c>
      <c r="R16" s="7" t="s">
        <v>38</v>
      </c>
      <c r="S16" s="10" t="s">
        <v>1505</v>
      </c>
      <c r="T16" s="7"/>
      <c r="U16" s="7"/>
      <c r="V16" s="7"/>
      <c r="W16" s="7"/>
      <c r="X16" s="7"/>
      <c r="Y16" s="7">
        <v>40</v>
      </c>
      <c r="Z16" s="7">
        <v>40</v>
      </c>
      <c r="AA16" s="7">
        <v>75</v>
      </c>
      <c r="AB16" s="7">
        <f t="shared" si="1"/>
        <v>13.333333333333334</v>
      </c>
      <c r="AC16" s="7">
        <f t="shared" si="2"/>
        <v>13.333333333333334</v>
      </c>
      <c r="AD16" s="7"/>
      <c r="AE16" s="7"/>
      <c r="AF16" s="7"/>
      <c r="AG16" s="7"/>
      <c r="AH16" s="7"/>
      <c r="AI16" s="7"/>
      <c r="AJ16" s="7"/>
      <c r="AK16" s="7"/>
      <c r="AL16" s="9"/>
      <c r="AM16" s="7" t="s">
        <v>71</v>
      </c>
      <c r="AN16" s="7" t="s">
        <v>71</v>
      </c>
      <c r="AO16" s="12"/>
    </row>
    <row r="17" spans="1:41" s="11" customFormat="1" ht="24" x14ac:dyDescent="0.25">
      <c r="A17" s="2">
        <v>16</v>
      </c>
      <c r="B17" s="7" t="s">
        <v>43</v>
      </c>
      <c r="C17" s="7" t="s">
        <v>50</v>
      </c>
      <c r="D17" s="7">
        <v>40</v>
      </c>
      <c r="E17" s="7">
        <v>40</v>
      </c>
      <c r="F17" s="8">
        <v>1</v>
      </c>
      <c r="G17" s="8">
        <v>1</v>
      </c>
      <c r="H17" s="7">
        <v>1</v>
      </c>
      <c r="I17" s="7">
        <v>1</v>
      </c>
      <c r="J17" s="7" t="s">
        <v>35</v>
      </c>
      <c r="K17" s="7">
        <v>2</v>
      </c>
      <c r="L17" s="7" t="s">
        <v>52</v>
      </c>
      <c r="M17" s="7">
        <f t="shared" si="0"/>
        <v>1</v>
      </c>
      <c r="N17" s="9" t="s">
        <v>36</v>
      </c>
      <c r="O17" s="7">
        <v>0</v>
      </c>
      <c r="P17" s="9" t="s">
        <v>34</v>
      </c>
      <c r="Q17" s="7" t="s">
        <v>38</v>
      </c>
      <c r="R17" s="7" t="s">
        <v>38</v>
      </c>
      <c r="S17" s="10" t="s">
        <v>1506</v>
      </c>
      <c r="T17" s="7"/>
      <c r="U17" s="7"/>
      <c r="V17" s="7"/>
      <c r="W17" s="7"/>
      <c r="X17" s="7"/>
      <c r="Y17" s="7">
        <v>25</v>
      </c>
      <c r="Z17" s="7">
        <v>25</v>
      </c>
      <c r="AA17" s="7">
        <v>70</v>
      </c>
      <c r="AB17" s="7">
        <f t="shared" si="1"/>
        <v>8.3333333333333339</v>
      </c>
      <c r="AC17" s="7">
        <f t="shared" si="2"/>
        <v>8.3333333333333339</v>
      </c>
      <c r="AD17" s="7"/>
      <c r="AE17" s="7"/>
      <c r="AF17" s="7"/>
      <c r="AG17" s="7"/>
      <c r="AH17" s="7"/>
      <c r="AI17" s="7"/>
      <c r="AJ17" s="7"/>
      <c r="AK17" s="7"/>
      <c r="AL17" s="9"/>
      <c r="AM17" s="7" t="s">
        <v>42</v>
      </c>
      <c r="AN17" s="7" t="s">
        <v>42</v>
      </c>
      <c r="AO17" s="7"/>
    </row>
    <row r="18" spans="1:41" s="11" customFormat="1" x14ac:dyDescent="0.25">
      <c r="A18" s="2">
        <v>17</v>
      </c>
      <c r="B18" s="7" t="s">
        <v>57</v>
      </c>
      <c r="C18" s="7" t="s">
        <v>50</v>
      </c>
      <c r="D18" s="7">
        <v>42</v>
      </c>
      <c r="E18" s="7">
        <v>42</v>
      </c>
      <c r="F18" s="8">
        <v>1</v>
      </c>
      <c r="G18" s="8">
        <v>1</v>
      </c>
      <c r="H18" s="7">
        <v>1</v>
      </c>
      <c r="I18" s="7">
        <v>1</v>
      </c>
      <c r="J18" s="7" t="s">
        <v>35</v>
      </c>
      <c r="K18" s="7">
        <v>2</v>
      </c>
      <c r="L18" s="7" t="s">
        <v>52</v>
      </c>
      <c r="M18" s="7">
        <f t="shared" si="0"/>
        <v>1</v>
      </c>
      <c r="N18" s="9" t="s">
        <v>36</v>
      </c>
      <c r="O18" s="7">
        <v>0</v>
      </c>
      <c r="P18" s="9" t="s">
        <v>33</v>
      </c>
      <c r="Q18" s="7" t="s">
        <v>38</v>
      </c>
      <c r="R18" s="7" t="s">
        <v>38</v>
      </c>
      <c r="S18" s="10" t="s">
        <v>1507</v>
      </c>
      <c r="T18" s="7"/>
      <c r="U18" s="7"/>
      <c r="V18" s="7"/>
      <c r="W18" s="7"/>
      <c r="X18" s="7"/>
      <c r="Y18" s="7">
        <v>50</v>
      </c>
      <c r="Z18" s="7">
        <v>50</v>
      </c>
      <c r="AA18" s="7">
        <v>60</v>
      </c>
      <c r="AB18" s="7">
        <f t="shared" si="1"/>
        <v>16.666666666666668</v>
      </c>
      <c r="AC18" s="7">
        <f t="shared" si="2"/>
        <v>16.666666666666668</v>
      </c>
      <c r="AD18" s="7"/>
      <c r="AE18" s="7">
        <v>1</v>
      </c>
      <c r="AF18" s="7"/>
      <c r="AG18" s="7"/>
      <c r="AH18" s="7"/>
      <c r="AI18" s="7"/>
      <c r="AJ18" s="7"/>
      <c r="AK18" s="7"/>
      <c r="AL18" s="9"/>
      <c r="AM18" s="7" t="s">
        <v>42</v>
      </c>
      <c r="AN18" s="7" t="s">
        <v>42</v>
      </c>
      <c r="AO18" s="7"/>
    </row>
    <row r="19" spans="1:41" s="11" customFormat="1" x14ac:dyDescent="0.25">
      <c r="A19" s="2">
        <v>18</v>
      </c>
      <c r="B19" s="7" t="s">
        <v>74</v>
      </c>
      <c r="C19" s="7" t="s">
        <v>50</v>
      </c>
      <c r="D19" s="7">
        <v>47</v>
      </c>
      <c r="E19" s="7">
        <v>47</v>
      </c>
      <c r="F19" s="8">
        <v>1</v>
      </c>
      <c r="G19" s="8">
        <v>1</v>
      </c>
      <c r="H19" s="7">
        <v>1</v>
      </c>
      <c r="I19" s="7">
        <v>1</v>
      </c>
      <c r="J19" s="7" t="s">
        <v>70</v>
      </c>
      <c r="K19" s="7">
        <v>2</v>
      </c>
      <c r="L19" s="7" t="s">
        <v>52</v>
      </c>
      <c r="M19" s="7">
        <f t="shared" si="0"/>
        <v>1</v>
      </c>
      <c r="N19" s="9" t="s">
        <v>34</v>
      </c>
      <c r="O19" s="7">
        <v>0</v>
      </c>
      <c r="P19" s="9" t="s">
        <v>63</v>
      </c>
      <c r="Q19" s="7" t="s">
        <v>38</v>
      </c>
      <c r="R19" s="7" t="s">
        <v>38</v>
      </c>
      <c r="S19" s="10" t="s">
        <v>1508</v>
      </c>
      <c r="T19" s="7"/>
      <c r="U19" s="7"/>
      <c r="V19" s="7"/>
      <c r="W19" s="7"/>
      <c r="X19" s="7"/>
      <c r="Y19" s="7">
        <v>60</v>
      </c>
      <c r="Z19" s="7">
        <v>60</v>
      </c>
      <c r="AA19" s="7">
        <v>66</v>
      </c>
      <c r="AB19" s="7">
        <f t="shared" si="1"/>
        <v>20</v>
      </c>
      <c r="AC19" s="7">
        <f t="shared" si="2"/>
        <v>20</v>
      </c>
      <c r="AD19" s="7"/>
      <c r="AE19" s="7"/>
      <c r="AF19" s="7"/>
      <c r="AG19" s="7"/>
      <c r="AH19" s="7"/>
      <c r="AI19" s="7"/>
      <c r="AJ19" s="7" t="s">
        <v>41</v>
      </c>
      <c r="AK19" s="7"/>
      <c r="AL19" s="9"/>
      <c r="AM19" s="7" t="s">
        <v>71</v>
      </c>
      <c r="AN19" s="7" t="s">
        <v>71</v>
      </c>
      <c r="AO19" s="7"/>
    </row>
    <row r="20" spans="1:41" s="11" customFormat="1" ht="24" x14ac:dyDescent="0.25">
      <c r="A20" s="2">
        <v>19</v>
      </c>
      <c r="B20" s="7" t="s">
        <v>61</v>
      </c>
      <c r="C20" s="7" t="s">
        <v>50</v>
      </c>
      <c r="D20" s="7">
        <v>30</v>
      </c>
      <c r="E20" s="7">
        <v>30</v>
      </c>
      <c r="F20" s="8">
        <v>1</v>
      </c>
      <c r="G20" s="8">
        <v>1</v>
      </c>
      <c r="H20" s="7">
        <v>1</v>
      </c>
      <c r="I20" s="7">
        <v>1</v>
      </c>
      <c r="J20" s="7" t="s">
        <v>35</v>
      </c>
      <c r="K20" s="7">
        <v>2</v>
      </c>
      <c r="L20" s="7" t="s">
        <v>52</v>
      </c>
      <c r="M20" s="7">
        <f t="shared" si="0"/>
        <v>1</v>
      </c>
      <c r="N20" s="9" t="s">
        <v>36</v>
      </c>
      <c r="O20" s="7">
        <v>0</v>
      </c>
      <c r="P20" s="9" t="s">
        <v>34</v>
      </c>
      <c r="Q20" s="7" t="s">
        <v>38</v>
      </c>
      <c r="R20" s="7" t="s">
        <v>38</v>
      </c>
      <c r="S20" s="10" t="s">
        <v>1505</v>
      </c>
      <c r="T20" s="7"/>
      <c r="U20" s="7"/>
      <c r="V20" s="7"/>
      <c r="W20" s="7"/>
      <c r="X20" s="7"/>
      <c r="Y20" s="7">
        <v>10</v>
      </c>
      <c r="Z20" s="7">
        <v>10</v>
      </c>
      <c r="AA20" s="7">
        <v>155</v>
      </c>
      <c r="AB20" s="7">
        <f t="shared" si="1"/>
        <v>3.3333333333333335</v>
      </c>
      <c r="AC20" s="7">
        <f t="shared" si="2"/>
        <v>3.3333333333333335</v>
      </c>
      <c r="AD20" s="7"/>
      <c r="AE20" s="7"/>
      <c r="AF20" s="7"/>
      <c r="AG20" s="7"/>
      <c r="AH20" s="7"/>
      <c r="AI20" s="7"/>
      <c r="AJ20" s="7"/>
      <c r="AK20" s="7"/>
      <c r="AL20" s="9"/>
      <c r="AM20" s="7" t="s">
        <v>71</v>
      </c>
      <c r="AN20" s="7" t="s">
        <v>71</v>
      </c>
      <c r="AO20" s="12"/>
    </row>
    <row r="21" spans="1:41" s="11" customFormat="1" ht="24" x14ac:dyDescent="0.25">
      <c r="A21" s="2">
        <v>20</v>
      </c>
      <c r="B21" s="7" t="s">
        <v>43</v>
      </c>
      <c r="C21" s="7" t="s">
        <v>50</v>
      </c>
      <c r="D21" s="7">
        <v>35</v>
      </c>
      <c r="E21" s="7">
        <v>35</v>
      </c>
      <c r="F21" s="8">
        <v>1</v>
      </c>
      <c r="G21" s="8">
        <v>1</v>
      </c>
      <c r="H21" s="7">
        <v>1</v>
      </c>
      <c r="I21" s="7">
        <v>1</v>
      </c>
      <c r="J21" s="7" t="s">
        <v>35</v>
      </c>
      <c r="K21" s="7">
        <v>2</v>
      </c>
      <c r="L21" s="7" t="s">
        <v>52</v>
      </c>
      <c r="M21" s="7">
        <f t="shared" si="0"/>
        <v>1</v>
      </c>
      <c r="N21" s="9" t="s">
        <v>34</v>
      </c>
      <c r="O21" s="7">
        <v>0</v>
      </c>
      <c r="P21" s="9" t="s">
        <v>63</v>
      </c>
      <c r="Q21" s="7" t="s">
        <v>38</v>
      </c>
      <c r="R21" s="7" t="s">
        <v>38</v>
      </c>
      <c r="S21" s="10" t="s">
        <v>1505</v>
      </c>
      <c r="T21" s="7"/>
      <c r="U21" s="7"/>
      <c r="V21" s="7"/>
      <c r="W21" s="7"/>
      <c r="X21" s="7"/>
      <c r="Y21" s="7">
        <v>15</v>
      </c>
      <c r="Z21" s="7">
        <v>15</v>
      </c>
      <c r="AA21" s="7">
        <v>120</v>
      </c>
      <c r="AB21" s="7">
        <f t="shared" si="1"/>
        <v>5</v>
      </c>
      <c r="AC21" s="7">
        <f t="shared" si="2"/>
        <v>5</v>
      </c>
      <c r="AD21" s="7"/>
      <c r="AE21" s="7"/>
      <c r="AF21" s="7"/>
      <c r="AG21" s="7"/>
      <c r="AH21" s="7"/>
      <c r="AI21" s="7"/>
      <c r="AJ21" s="7"/>
      <c r="AK21" s="7"/>
      <c r="AL21" s="9"/>
      <c r="AM21" s="7" t="s">
        <v>71</v>
      </c>
      <c r="AN21" s="7" t="s">
        <v>71</v>
      </c>
      <c r="AO21" s="7"/>
    </row>
    <row r="22" spans="1:41" s="11" customFormat="1" x14ac:dyDescent="0.25">
      <c r="A22" s="2">
        <v>21</v>
      </c>
      <c r="B22" s="7" t="s">
        <v>68</v>
      </c>
      <c r="C22" s="7" t="s">
        <v>50</v>
      </c>
      <c r="D22" s="7">
        <v>28</v>
      </c>
      <c r="E22" s="7">
        <v>28</v>
      </c>
      <c r="F22" s="8">
        <v>1</v>
      </c>
      <c r="G22" s="8">
        <v>1</v>
      </c>
      <c r="H22" s="7">
        <v>1</v>
      </c>
      <c r="I22" s="7">
        <v>1</v>
      </c>
      <c r="J22" s="7" t="s">
        <v>35</v>
      </c>
      <c r="K22" s="7">
        <v>2</v>
      </c>
      <c r="L22" s="7" t="s">
        <v>52</v>
      </c>
      <c r="M22" s="7">
        <f t="shared" si="0"/>
        <v>1</v>
      </c>
      <c r="N22" s="9" t="s">
        <v>34</v>
      </c>
      <c r="O22" s="7">
        <v>2</v>
      </c>
      <c r="P22" s="9" t="s">
        <v>33</v>
      </c>
      <c r="Q22" s="7" t="s">
        <v>38</v>
      </c>
      <c r="R22" s="7" t="s">
        <v>38</v>
      </c>
      <c r="S22" s="10" t="s">
        <v>1509</v>
      </c>
      <c r="T22" s="7"/>
      <c r="U22" s="7"/>
      <c r="V22" s="7"/>
      <c r="W22" s="7"/>
      <c r="X22" s="7"/>
      <c r="Y22" s="7">
        <v>15</v>
      </c>
      <c r="Z22" s="7">
        <v>15</v>
      </c>
      <c r="AA22" s="7">
        <v>120</v>
      </c>
      <c r="AB22" s="7">
        <f t="shared" si="1"/>
        <v>5</v>
      </c>
      <c r="AC22" s="7">
        <f t="shared" si="2"/>
        <v>5</v>
      </c>
      <c r="AD22" s="7"/>
      <c r="AE22" s="7"/>
      <c r="AF22" s="7"/>
      <c r="AG22" s="7"/>
      <c r="AH22" s="7"/>
      <c r="AI22" s="7"/>
      <c r="AJ22" s="7"/>
      <c r="AK22" s="7"/>
      <c r="AL22" s="9"/>
      <c r="AM22" s="7" t="s">
        <v>71</v>
      </c>
      <c r="AN22" s="7" t="s">
        <v>71</v>
      </c>
      <c r="AO22" s="12"/>
    </row>
    <row r="23" spans="1:41" s="11" customFormat="1" x14ac:dyDescent="0.25">
      <c r="A23" s="2">
        <v>22</v>
      </c>
      <c r="B23" s="7" t="s">
        <v>73</v>
      </c>
      <c r="C23" s="7" t="s">
        <v>50</v>
      </c>
      <c r="D23" s="7">
        <v>30</v>
      </c>
      <c r="E23" s="7">
        <v>30</v>
      </c>
      <c r="F23" s="8">
        <v>1</v>
      </c>
      <c r="G23" s="8">
        <v>1</v>
      </c>
      <c r="H23" s="7">
        <v>1</v>
      </c>
      <c r="I23" s="7">
        <v>1</v>
      </c>
      <c r="J23" s="7" t="s">
        <v>35</v>
      </c>
      <c r="K23" s="7">
        <v>2</v>
      </c>
      <c r="L23" s="7" t="s">
        <v>52</v>
      </c>
      <c r="M23" s="7">
        <f t="shared" si="0"/>
        <v>1</v>
      </c>
      <c r="N23" s="9" t="s">
        <v>36</v>
      </c>
      <c r="O23" s="7">
        <v>0</v>
      </c>
      <c r="P23" s="9" t="s">
        <v>63</v>
      </c>
      <c r="Q23" s="7" t="s">
        <v>38</v>
      </c>
      <c r="R23" s="7" t="s">
        <v>52</v>
      </c>
      <c r="S23" s="10" t="s">
        <v>1510</v>
      </c>
      <c r="T23" s="7"/>
      <c r="U23" s="7"/>
      <c r="V23" s="7"/>
      <c r="W23" s="7"/>
      <c r="X23" s="7"/>
      <c r="Y23" s="7">
        <v>15</v>
      </c>
      <c r="Z23" s="7">
        <v>15</v>
      </c>
      <c r="AA23" s="7">
        <v>140</v>
      </c>
      <c r="AB23" s="7">
        <f t="shared" si="1"/>
        <v>5</v>
      </c>
      <c r="AC23" s="7">
        <f t="shared" si="2"/>
        <v>5</v>
      </c>
      <c r="AD23" s="7"/>
      <c r="AE23" s="7"/>
      <c r="AF23" s="7"/>
      <c r="AG23" s="7"/>
      <c r="AH23" s="7"/>
      <c r="AI23" s="7"/>
      <c r="AJ23" s="7"/>
      <c r="AK23" s="7"/>
      <c r="AL23" s="9"/>
      <c r="AM23" s="7" t="s">
        <v>71</v>
      </c>
      <c r="AN23" s="7" t="s">
        <v>71</v>
      </c>
      <c r="AO23" s="12"/>
    </row>
    <row r="24" spans="1:41" s="11" customFormat="1" ht="24" x14ac:dyDescent="0.25">
      <c r="A24" s="2">
        <v>23</v>
      </c>
      <c r="B24" s="7" t="s">
        <v>73</v>
      </c>
      <c r="C24" s="7" t="s">
        <v>50</v>
      </c>
      <c r="D24" s="7">
        <v>13</v>
      </c>
      <c r="E24" s="7">
        <v>13</v>
      </c>
      <c r="F24" s="8">
        <v>1</v>
      </c>
      <c r="G24" s="8">
        <v>1</v>
      </c>
      <c r="H24" s="7">
        <v>1</v>
      </c>
      <c r="I24" s="7">
        <v>1</v>
      </c>
      <c r="J24" s="7" t="s">
        <v>35</v>
      </c>
      <c r="K24" s="7">
        <v>2</v>
      </c>
      <c r="L24" s="7" t="s">
        <v>52</v>
      </c>
      <c r="M24" s="7">
        <f t="shared" si="0"/>
        <v>1</v>
      </c>
      <c r="N24" s="9" t="s">
        <v>34</v>
      </c>
      <c r="O24" s="7">
        <v>0</v>
      </c>
      <c r="P24" s="9" t="s">
        <v>63</v>
      </c>
      <c r="Q24" s="7" t="s">
        <v>38</v>
      </c>
      <c r="R24" s="7" t="s">
        <v>38</v>
      </c>
      <c r="S24" s="10" t="s">
        <v>1511</v>
      </c>
      <c r="T24" s="7"/>
      <c r="U24" s="7"/>
      <c r="V24" s="7"/>
      <c r="W24" s="7"/>
      <c r="X24" s="7"/>
      <c r="Y24" s="7">
        <v>30</v>
      </c>
      <c r="Z24" s="7">
        <v>30</v>
      </c>
      <c r="AA24" s="7">
        <v>50</v>
      </c>
      <c r="AB24" s="7">
        <f t="shared" si="1"/>
        <v>10</v>
      </c>
      <c r="AC24" s="7">
        <f t="shared" si="2"/>
        <v>10</v>
      </c>
      <c r="AD24" s="7"/>
      <c r="AE24" s="7"/>
      <c r="AF24" s="7"/>
      <c r="AG24" s="7"/>
      <c r="AH24" s="7"/>
      <c r="AI24" s="7"/>
      <c r="AJ24" s="7" t="s">
        <v>41</v>
      </c>
      <c r="AK24" s="7"/>
      <c r="AL24" s="9"/>
      <c r="AM24" s="7" t="s">
        <v>71</v>
      </c>
      <c r="AN24" s="7" t="s">
        <v>71</v>
      </c>
      <c r="AO24" s="7"/>
    </row>
    <row r="25" spans="1:41" s="11" customFormat="1" ht="24" x14ac:dyDescent="0.25">
      <c r="A25" s="2">
        <v>24</v>
      </c>
      <c r="B25" s="7" t="s">
        <v>31</v>
      </c>
      <c r="C25" s="7" t="s">
        <v>50</v>
      </c>
      <c r="D25" s="7">
        <v>10</v>
      </c>
      <c r="E25" s="7">
        <v>10</v>
      </c>
      <c r="F25" s="8">
        <v>1</v>
      </c>
      <c r="G25" s="8">
        <v>1</v>
      </c>
      <c r="H25" s="7">
        <v>1</v>
      </c>
      <c r="I25" s="7">
        <v>1</v>
      </c>
      <c r="J25" s="7" t="s">
        <v>35</v>
      </c>
      <c r="K25" s="7">
        <v>2</v>
      </c>
      <c r="L25" s="7" t="s">
        <v>52</v>
      </c>
      <c r="M25" s="7">
        <f t="shared" si="0"/>
        <v>1</v>
      </c>
      <c r="N25" s="9" t="s">
        <v>36</v>
      </c>
      <c r="O25" s="7">
        <v>0</v>
      </c>
      <c r="P25" s="9" t="s">
        <v>63</v>
      </c>
      <c r="Q25" s="7" t="s">
        <v>38</v>
      </c>
      <c r="R25" s="7" t="s">
        <v>38</v>
      </c>
      <c r="S25" s="10" t="s">
        <v>1512</v>
      </c>
      <c r="T25" s="7"/>
      <c r="U25" s="7"/>
      <c r="V25" s="7"/>
      <c r="W25" s="7"/>
      <c r="X25" s="7"/>
      <c r="Y25" s="7">
        <v>15</v>
      </c>
      <c r="Z25" s="7">
        <v>15</v>
      </c>
      <c r="AA25" s="7">
        <v>70</v>
      </c>
      <c r="AB25" s="7">
        <f t="shared" si="1"/>
        <v>5</v>
      </c>
      <c r="AC25" s="7">
        <f t="shared" si="2"/>
        <v>5</v>
      </c>
      <c r="AD25" s="7"/>
      <c r="AE25" s="7"/>
      <c r="AF25" s="7"/>
      <c r="AG25" s="7"/>
      <c r="AH25" s="7"/>
      <c r="AI25" s="7"/>
      <c r="AJ25" s="7"/>
      <c r="AK25" s="7"/>
      <c r="AL25" s="9"/>
      <c r="AM25" s="7" t="s">
        <v>71</v>
      </c>
      <c r="AN25" s="7" t="s">
        <v>71</v>
      </c>
      <c r="AO25" s="7"/>
    </row>
    <row r="26" spans="1:41" s="11" customFormat="1" ht="24" x14ac:dyDescent="0.25">
      <c r="A26" s="2">
        <v>25</v>
      </c>
      <c r="B26" s="7" t="s">
        <v>75</v>
      </c>
      <c r="C26" s="7" t="s">
        <v>50</v>
      </c>
      <c r="D26" s="7">
        <v>22</v>
      </c>
      <c r="E26" s="7">
        <v>22</v>
      </c>
      <c r="F26" s="8">
        <v>1</v>
      </c>
      <c r="G26" s="8">
        <v>1</v>
      </c>
      <c r="H26" s="7">
        <v>1</v>
      </c>
      <c r="I26" s="7">
        <v>1</v>
      </c>
      <c r="J26" s="7" t="s">
        <v>35</v>
      </c>
      <c r="K26" s="7">
        <v>2</v>
      </c>
      <c r="L26" s="7" t="s">
        <v>52</v>
      </c>
      <c r="M26" s="7">
        <f t="shared" si="0"/>
        <v>1</v>
      </c>
      <c r="N26" s="9" t="s">
        <v>34</v>
      </c>
      <c r="O26" s="7">
        <v>0</v>
      </c>
      <c r="P26" s="9" t="s">
        <v>34</v>
      </c>
      <c r="Q26" s="7" t="s">
        <v>38</v>
      </c>
      <c r="R26" s="7"/>
      <c r="S26" s="10" t="s">
        <v>1492</v>
      </c>
      <c r="T26" s="7"/>
      <c r="U26" s="7"/>
      <c r="V26" s="7"/>
      <c r="W26" s="7"/>
      <c r="X26" s="7"/>
      <c r="Y26" s="7">
        <v>95</v>
      </c>
      <c r="Z26" s="7">
        <v>95</v>
      </c>
      <c r="AA26" s="7" t="s">
        <v>76</v>
      </c>
      <c r="AB26" s="7">
        <f t="shared" si="1"/>
        <v>31.666666666666668</v>
      </c>
      <c r="AC26" s="7">
        <f t="shared" si="2"/>
        <v>31.666666666666668</v>
      </c>
      <c r="AD26" s="7"/>
      <c r="AE26" s="7"/>
      <c r="AF26" s="7"/>
      <c r="AG26" s="7"/>
      <c r="AH26" s="7"/>
      <c r="AI26" s="7"/>
      <c r="AJ26" s="10" t="s">
        <v>2338</v>
      </c>
      <c r="AK26" s="7"/>
      <c r="AL26" s="9"/>
      <c r="AM26" s="7" t="s">
        <v>71</v>
      </c>
      <c r="AN26" s="7" t="s">
        <v>71</v>
      </c>
      <c r="AO26" s="7"/>
    </row>
    <row r="27" spans="1:41" s="11" customFormat="1" x14ac:dyDescent="0.25">
      <c r="A27" s="2">
        <v>26</v>
      </c>
      <c r="B27" s="7" t="s">
        <v>75</v>
      </c>
      <c r="C27" s="7" t="s">
        <v>50</v>
      </c>
      <c r="D27" s="7">
        <v>8</v>
      </c>
      <c r="E27" s="7">
        <v>8</v>
      </c>
      <c r="F27" s="8">
        <v>1</v>
      </c>
      <c r="G27" s="8">
        <v>1</v>
      </c>
      <c r="H27" s="7">
        <v>1</v>
      </c>
      <c r="I27" s="7">
        <v>1</v>
      </c>
      <c r="J27" s="7" t="s">
        <v>35</v>
      </c>
      <c r="K27" s="7">
        <v>2</v>
      </c>
      <c r="L27" s="7" t="s">
        <v>52</v>
      </c>
      <c r="M27" s="7">
        <f t="shared" si="0"/>
        <v>1</v>
      </c>
      <c r="N27" s="9" t="s">
        <v>34</v>
      </c>
      <c r="O27" s="7">
        <v>0</v>
      </c>
      <c r="P27" s="9" t="s">
        <v>37</v>
      </c>
      <c r="Q27" s="7" t="s">
        <v>38</v>
      </c>
      <c r="R27" s="7" t="s">
        <v>38</v>
      </c>
      <c r="S27" s="10" t="s">
        <v>1513</v>
      </c>
      <c r="T27" s="7"/>
      <c r="U27" s="7"/>
      <c r="V27" s="7"/>
      <c r="W27" s="7"/>
      <c r="X27" s="7"/>
      <c r="Y27" s="7">
        <v>9</v>
      </c>
      <c r="Z27" s="7">
        <v>9</v>
      </c>
      <c r="AA27" s="7">
        <v>70</v>
      </c>
      <c r="AB27" s="7">
        <f t="shared" si="1"/>
        <v>3</v>
      </c>
      <c r="AC27" s="7">
        <f t="shared" si="2"/>
        <v>3</v>
      </c>
      <c r="AD27" s="7"/>
      <c r="AE27" s="7"/>
      <c r="AF27" s="7"/>
      <c r="AG27" s="7"/>
      <c r="AH27" s="7"/>
      <c r="AI27" s="7"/>
      <c r="AJ27" s="7"/>
      <c r="AK27" s="7"/>
      <c r="AL27" s="9"/>
      <c r="AM27" s="7" t="s">
        <v>71</v>
      </c>
      <c r="AN27" s="7" t="s">
        <v>71</v>
      </c>
      <c r="AO27" s="12"/>
    </row>
    <row r="28" spans="1:41" s="11" customFormat="1" x14ac:dyDescent="0.25">
      <c r="A28" s="2">
        <v>27</v>
      </c>
      <c r="B28" s="7" t="s">
        <v>57</v>
      </c>
      <c r="C28" s="7" t="s">
        <v>50</v>
      </c>
      <c r="D28" s="7">
        <v>8</v>
      </c>
      <c r="E28" s="7">
        <v>8</v>
      </c>
      <c r="F28" s="8">
        <v>1</v>
      </c>
      <c r="G28" s="8">
        <v>1</v>
      </c>
      <c r="H28" s="7">
        <v>1</v>
      </c>
      <c r="I28" s="7">
        <v>1</v>
      </c>
      <c r="J28" s="7" t="s">
        <v>35</v>
      </c>
      <c r="K28" s="7">
        <v>1</v>
      </c>
      <c r="L28" s="7" t="s">
        <v>52</v>
      </c>
      <c r="M28" s="7">
        <f t="shared" si="0"/>
        <v>1</v>
      </c>
      <c r="N28" s="9" t="s">
        <v>36</v>
      </c>
      <c r="O28" s="7">
        <v>0</v>
      </c>
      <c r="P28" s="9" t="s">
        <v>63</v>
      </c>
      <c r="Q28" s="7" t="s">
        <v>38</v>
      </c>
      <c r="R28" s="7" t="s">
        <v>38</v>
      </c>
      <c r="S28" s="10" t="s">
        <v>1514</v>
      </c>
      <c r="T28" s="7"/>
      <c r="U28" s="7"/>
      <c r="V28" s="7"/>
      <c r="W28" s="7"/>
      <c r="X28" s="7"/>
      <c r="Y28" s="7">
        <v>20</v>
      </c>
      <c r="Z28" s="7">
        <v>20</v>
      </c>
      <c r="AA28" s="7">
        <v>50</v>
      </c>
      <c r="AB28" s="7">
        <f t="shared" si="1"/>
        <v>6.666666666666667</v>
      </c>
      <c r="AC28" s="7">
        <f t="shared" si="2"/>
        <v>6.666666666666667</v>
      </c>
      <c r="AD28" s="7"/>
      <c r="AE28" s="7"/>
      <c r="AF28" s="7"/>
      <c r="AG28" s="7"/>
      <c r="AH28" s="7"/>
      <c r="AI28" s="7"/>
      <c r="AJ28" s="7"/>
      <c r="AK28" s="7"/>
      <c r="AL28" s="9"/>
      <c r="AM28" s="7" t="s">
        <v>71</v>
      </c>
      <c r="AN28" s="7" t="s">
        <v>71</v>
      </c>
      <c r="AO28" s="12"/>
    </row>
    <row r="29" spans="1:41" s="11" customFormat="1" ht="24" x14ac:dyDescent="0.25">
      <c r="A29" s="2">
        <v>28</v>
      </c>
      <c r="B29" s="7" t="s">
        <v>75</v>
      </c>
      <c r="C29" s="7" t="s">
        <v>50</v>
      </c>
      <c r="D29" s="7">
        <v>14</v>
      </c>
      <c r="E29" s="7">
        <v>14</v>
      </c>
      <c r="F29" s="8">
        <v>1</v>
      </c>
      <c r="G29" s="8">
        <v>1</v>
      </c>
      <c r="H29" s="7">
        <v>1</v>
      </c>
      <c r="I29" s="7">
        <v>1</v>
      </c>
      <c r="J29" s="7" t="s">
        <v>77</v>
      </c>
      <c r="K29" s="7">
        <v>2</v>
      </c>
      <c r="L29" s="7" t="s">
        <v>38</v>
      </c>
      <c r="M29" s="7">
        <f t="shared" si="0"/>
        <v>0</v>
      </c>
      <c r="N29" s="9" t="s">
        <v>36</v>
      </c>
      <c r="O29" s="7">
        <v>0</v>
      </c>
      <c r="P29" s="9" t="s">
        <v>63</v>
      </c>
      <c r="Q29" s="7" t="s">
        <v>38</v>
      </c>
      <c r="R29" s="7" t="s">
        <v>38</v>
      </c>
      <c r="S29" s="10" t="s">
        <v>1515</v>
      </c>
      <c r="T29" s="7"/>
      <c r="U29" s="7"/>
      <c r="V29" s="7"/>
      <c r="W29" s="7"/>
      <c r="X29" s="7"/>
      <c r="Y29" s="7">
        <v>12</v>
      </c>
      <c r="Z29" s="7">
        <v>12</v>
      </c>
      <c r="AA29" s="7">
        <v>80</v>
      </c>
      <c r="AB29" s="7">
        <f t="shared" si="1"/>
        <v>4</v>
      </c>
      <c r="AC29" s="7">
        <f t="shared" si="2"/>
        <v>0</v>
      </c>
      <c r="AD29" s="7"/>
      <c r="AE29" s="7"/>
      <c r="AF29" s="7"/>
      <c r="AG29" s="7"/>
      <c r="AH29" s="7"/>
      <c r="AI29" s="7"/>
      <c r="AJ29" s="7"/>
      <c r="AK29" s="7"/>
      <c r="AL29" s="9"/>
      <c r="AM29" s="7" t="s">
        <v>71</v>
      </c>
      <c r="AN29" s="7" t="s">
        <v>71</v>
      </c>
      <c r="AO29" s="7"/>
    </row>
    <row r="30" spans="1:41" s="11" customFormat="1" ht="24" x14ac:dyDescent="0.25">
      <c r="A30" s="2">
        <v>29</v>
      </c>
      <c r="B30" s="7" t="s">
        <v>43</v>
      </c>
      <c r="C30" s="7" t="s">
        <v>78</v>
      </c>
      <c r="D30" s="7">
        <v>94</v>
      </c>
      <c r="E30" s="7">
        <v>94</v>
      </c>
      <c r="F30" s="8">
        <v>1</v>
      </c>
      <c r="G30" s="8">
        <v>1</v>
      </c>
      <c r="H30" s="7">
        <v>1</v>
      </c>
      <c r="I30" s="7">
        <v>1</v>
      </c>
      <c r="J30" s="7" t="s">
        <v>35</v>
      </c>
      <c r="K30" s="7"/>
      <c r="L30" s="7" t="s">
        <v>52</v>
      </c>
      <c r="M30" s="7">
        <f t="shared" si="0"/>
        <v>1</v>
      </c>
      <c r="N30" s="9" t="s">
        <v>34</v>
      </c>
      <c r="O30" s="7">
        <v>0</v>
      </c>
      <c r="P30" s="9" t="s">
        <v>63</v>
      </c>
      <c r="Q30" s="7" t="s">
        <v>38</v>
      </c>
      <c r="R30" s="7" t="s">
        <v>52</v>
      </c>
      <c r="S30" s="10" t="s">
        <v>1516</v>
      </c>
      <c r="T30" s="7">
        <v>5</v>
      </c>
      <c r="U30" s="7">
        <v>5</v>
      </c>
      <c r="V30" s="7">
        <v>500</v>
      </c>
      <c r="W30" s="7" t="s">
        <v>79</v>
      </c>
      <c r="X30" s="7"/>
      <c r="Y30" s="7"/>
      <c r="Z30" s="7"/>
      <c r="AA30" s="7"/>
      <c r="AB30" s="7">
        <f t="shared" si="1"/>
        <v>1.6666666666666667</v>
      </c>
      <c r="AC30" s="7">
        <f t="shared" si="2"/>
        <v>1.6666666666666667</v>
      </c>
      <c r="AD30" s="7"/>
      <c r="AE30" s="7"/>
      <c r="AF30" s="7"/>
      <c r="AG30" s="7"/>
      <c r="AH30" s="7"/>
      <c r="AI30" s="7"/>
      <c r="AJ30" s="7"/>
      <c r="AK30" s="7"/>
      <c r="AL30" s="9"/>
      <c r="AM30" s="7" t="s">
        <v>215</v>
      </c>
      <c r="AN30" s="7" t="s">
        <v>2850</v>
      </c>
      <c r="AO30" s="7"/>
    </row>
    <row r="31" spans="1:41" s="11" customFormat="1" x14ac:dyDescent="0.25">
      <c r="A31" s="2">
        <v>30</v>
      </c>
      <c r="B31" s="7" t="s">
        <v>43</v>
      </c>
      <c r="C31" s="7" t="s">
        <v>50</v>
      </c>
      <c r="D31" s="7">
        <v>4</v>
      </c>
      <c r="E31" s="7">
        <v>4</v>
      </c>
      <c r="F31" s="8">
        <v>1</v>
      </c>
      <c r="G31" s="8">
        <v>1</v>
      </c>
      <c r="H31" s="7">
        <v>1</v>
      </c>
      <c r="I31" s="7">
        <v>1</v>
      </c>
      <c r="J31" s="7" t="s">
        <v>35</v>
      </c>
      <c r="K31" s="7">
        <v>2</v>
      </c>
      <c r="L31" s="7" t="s">
        <v>52</v>
      </c>
      <c r="M31" s="7">
        <f t="shared" si="0"/>
        <v>1</v>
      </c>
      <c r="N31" s="9" t="s">
        <v>34</v>
      </c>
      <c r="O31" s="7">
        <v>0</v>
      </c>
      <c r="P31" s="9" t="s">
        <v>63</v>
      </c>
      <c r="Q31" s="7" t="s">
        <v>38</v>
      </c>
      <c r="R31" s="7" t="s">
        <v>38</v>
      </c>
      <c r="S31" s="10" t="s">
        <v>1492</v>
      </c>
      <c r="T31" s="7"/>
      <c r="U31" s="7"/>
      <c r="V31" s="7"/>
      <c r="W31" s="7"/>
      <c r="X31" s="7"/>
      <c r="Y31" s="7">
        <v>5</v>
      </c>
      <c r="Z31" s="7">
        <v>5</v>
      </c>
      <c r="AA31" s="7" t="s">
        <v>81</v>
      </c>
      <c r="AB31" s="7">
        <f t="shared" si="1"/>
        <v>1.6666666666666667</v>
      </c>
      <c r="AC31" s="7">
        <f t="shared" si="2"/>
        <v>1.6666666666666667</v>
      </c>
      <c r="AD31" s="7"/>
      <c r="AE31" s="7"/>
      <c r="AF31" s="7"/>
      <c r="AG31" s="7"/>
      <c r="AH31" s="7"/>
      <c r="AI31" s="7"/>
      <c r="AJ31" s="7"/>
      <c r="AK31" s="7"/>
      <c r="AL31" s="9"/>
      <c r="AM31" s="7" t="s">
        <v>42</v>
      </c>
      <c r="AN31" s="7" t="s">
        <v>42</v>
      </c>
      <c r="AO31" s="10" t="s">
        <v>2516</v>
      </c>
    </row>
    <row r="32" spans="1:41" s="11" customFormat="1" x14ac:dyDescent="0.25">
      <c r="A32" s="2">
        <v>31</v>
      </c>
      <c r="B32" s="7" t="s">
        <v>43</v>
      </c>
      <c r="C32" s="7" t="s">
        <v>50</v>
      </c>
      <c r="D32" s="7">
        <v>6</v>
      </c>
      <c r="E32" s="7">
        <v>6</v>
      </c>
      <c r="F32" s="8">
        <v>1</v>
      </c>
      <c r="G32" s="8">
        <v>1</v>
      </c>
      <c r="H32" s="7">
        <v>1</v>
      </c>
      <c r="I32" s="7">
        <v>1</v>
      </c>
      <c r="J32" s="7" t="s">
        <v>35</v>
      </c>
      <c r="K32" s="7">
        <v>2</v>
      </c>
      <c r="L32" s="7" t="s">
        <v>52</v>
      </c>
      <c r="M32" s="7">
        <f t="shared" si="0"/>
        <v>1</v>
      </c>
      <c r="N32" s="9" t="s">
        <v>36</v>
      </c>
      <c r="O32" s="7">
        <v>0</v>
      </c>
      <c r="P32" s="9" t="s">
        <v>63</v>
      </c>
      <c r="Q32" s="7" t="s">
        <v>38</v>
      </c>
      <c r="R32" s="7"/>
      <c r="S32" s="10" t="s">
        <v>1492</v>
      </c>
      <c r="T32" s="7"/>
      <c r="U32" s="7"/>
      <c r="V32" s="7"/>
      <c r="W32" s="7"/>
      <c r="X32" s="7"/>
      <c r="Y32" s="7">
        <v>5</v>
      </c>
      <c r="Z32" s="7">
        <v>5</v>
      </c>
      <c r="AA32" s="7" t="s">
        <v>76</v>
      </c>
      <c r="AB32" s="7">
        <f t="shared" si="1"/>
        <v>1.6666666666666667</v>
      </c>
      <c r="AC32" s="7">
        <f t="shared" si="2"/>
        <v>1.6666666666666667</v>
      </c>
      <c r="AD32" s="7"/>
      <c r="AE32" s="7"/>
      <c r="AF32" s="7"/>
      <c r="AG32" s="7"/>
      <c r="AH32" s="7"/>
      <c r="AI32" s="7"/>
      <c r="AJ32" s="7"/>
      <c r="AK32" s="7"/>
      <c r="AL32" s="9"/>
      <c r="AM32" s="7" t="s">
        <v>71</v>
      </c>
      <c r="AN32" s="7" t="s">
        <v>71</v>
      </c>
      <c r="AO32" s="12"/>
    </row>
    <row r="33" spans="1:41" s="11" customFormat="1" x14ac:dyDescent="0.25">
      <c r="A33" s="2">
        <v>32</v>
      </c>
      <c r="B33" s="7" t="s">
        <v>43</v>
      </c>
      <c r="C33" s="7" t="s">
        <v>50</v>
      </c>
      <c r="D33" s="7">
        <v>5</v>
      </c>
      <c r="E33" s="7">
        <v>5</v>
      </c>
      <c r="F33" s="8">
        <v>1</v>
      </c>
      <c r="G33" s="8">
        <v>1</v>
      </c>
      <c r="H33" s="7">
        <v>1</v>
      </c>
      <c r="I33" s="7">
        <v>1</v>
      </c>
      <c r="J33" s="7" t="s">
        <v>35</v>
      </c>
      <c r="K33" s="7">
        <v>2</v>
      </c>
      <c r="L33" s="7" t="s">
        <v>52</v>
      </c>
      <c r="M33" s="7">
        <f t="shared" si="0"/>
        <v>1</v>
      </c>
      <c r="N33" s="9" t="s">
        <v>34</v>
      </c>
      <c r="O33" s="7">
        <v>0</v>
      </c>
      <c r="P33" s="9" t="s">
        <v>34</v>
      </c>
      <c r="Q33" s="7" t="s">
        <v>38</v>
      </c>
      <c r="R33" s="7"/>
      <c r="S33" s="10" t="s">
        <v>1492</v>
      </c>
      <c r="T33" s="7"/>
      <c r="U33" s="7"/>
      <c r="V33" s="7"/>
      <c r="W33" s="7"/>
      <c r="X33" s="7"/>
      <c r="Y33" s="7">
        <v>15</v>
      </c>
      <c r="Z33" s="7">
        <v>15</v>
      </c>
      <c r="AA33" s="7" t="s">
        <v>76</v>
      </c>
      <c r="AB33" s="7">
        <f t="shared" si="1"/>
        <v>5</v>
      </c>
      <c r="AC33" s="7">
        <f t="shared" si="2"/>
        <v>5</v>
      </c>
      <c r="AD33" s="7"/>
      <c r="AE33" s="7"/>
      <c r="AF33" s="7"/>
      <c r="AG33" s="7"/>
      <c r="AH33" s="7"/>
      <c r="AI33" s="7"/>
      <c r="AJ33" s="7"/>
      <c r="AK33" s="7"/>
      <c r="AL33" s="9"/>
      <c r="AM33" s="7" t="s">
        <v>71</v>
      </c>
      <c r="AN33" s="7" t="s">
        <v>71</v>
      </c>
      <c r="AO33" s="12"/>
    </row>
    <row r="34" spans="1:41" s="11" customFormat="1" ht="24" x14ac:dyDescent="0.25">
      <c r="A34" s="2">
        <v>33</v>
      </c>
      <c r="B34" s="7" t="s">
        <v>43</v>
      </c>
      <c r="C34" s="7" t="s">
        <v>78</v>
      </c>
      <c r="D34" s="7">
        <v>1</v>
      </c>
      <c r="E34" s="7">
        <v>1</v>
      </c>
      <c r="F34" s="8">
        <v>1</v>
      </c>
      <c r="G34" s="8">
        <v>1</v>
      </c>
      <c r="H34" s="7">
        <v>1</v>
      </c>
      <c r="I34" s="7">
        <v>1</v>
      </c>
      <c r="J34" s="7" t="s">
        <v>35</v>
      </c>
      <c r="K34" s="7">
        <v>2</v>
      </c>
      <c r="L34" s="7" t="s">
        <v>52</v>
      </c>
      <c r="M34" s="7">
        <f t="shared" si="0"/>
        <v>1</v>
      </c>
      <c r="N34" s="9" t="s">
        <v>82</v>
      </c>
      <c r="O34" s="7">
        <v>0</v>
      </c>
      <c r="P34" s="9" t="s">
        <v>36</v>
      </c>
      <c r="Q34" s="7" t="s">
        <v>38</v>
      </c>
      <c r="R34" s="7" t="s">
        <v>38</v>
      </c>
      <c r="S34" s="7"/>
      <c r="T34" s="7">
        <v>10</v>
      </c>
      <c r="U34" s="7">
        <v>10</v>
      </c>
      <c r="V34" s="7">
        <v>40</v>
      </c>
      <c r="W34" s="7" t="s">
        <v>83</v>
      </c>
      <c r="X34" s="7"/>
      <c r="Y34" s="7"/>
      <c r="Z34" s="7"/>
      <c r="AA34" s="7"/>
      <c r="AB34" s="7">
        <f t="shared" ref="AB34:AB63" si="3">(U34+X34+Z34)/3</f>
        <v>3.3333333333333335</v>
      </c>
      <c r="AC34" s="7">
        <f t="shared" si="2"/>
        <v>3.3333333333333335</v>
      </c>
      <c r="AD34" s="7"/>
      <c r="AE34" s="7"/>
      <c r="AF34" s="7"/>
      <c r="AG34" s="7"/>
      <c r="AH34" s="7"/>
      <c r="AI34" s="7"/>
      <c r="AJ34" s="7"/>
      <c r="AK34" s="7"/>
      <c r="AL34" s="9"/>
      <c r="AM34" s="7" t="s">
        <v>84</v>
      </c>
      <c r="AN34" s="7" t="s">
        <v>2847</v>
      </c>
      <c r="AO34" s="7"/>
    </row>
    <row r="35" spans="1:41" s="11" customFormat="1" x14ac:dyDescent="0.25">
      <c r="A35" s="2">
        <v>34</v>
      </c>
      <c r="B35" s="7" t="s">
        <v>43</v>
      </c>
      <c r="C35" s="7" t="s">
        <v>78</v>
      </c>
      <c r="D35" s="7">
        <v>4</v>
      </c>
      <c r="E35" s="7">
        <v>4</v>
      </c>
      <c r="F35" s="8">
        <v>1</v>
      </c>
      <c r="G35" s="8">
        <v>1</v>
      </c>
      <c r="H35" s="7">
        <v>1</v>
      </c>
      <c r="I35" s="7">
        <v>1</v>
      </c>
      <c r="J35" s="7" t="s">
        <v>35</v>
      </c>
      <c r="K35" s="7">
        <v>2</v>
      </c>
      <c r="L35" s="7" t="s">
        <v>52</v>
      </c>
      <c r="M35" s="7">
        <f t="shared" si="0"/>
        <v>1</v>
      </c>
      <c r="N35" s="9" t="s">
        <v>34</v>
      </c>
      <c r="O35" s="7">
        <v>0</v>
      </c>
      <c r="P35" s="9" t="s">
        <v>63</v>
      </c>
      <c r="Q35" s="7" t="s">
        <v>38</v>
      </c>
      <c r="R35" s="7" t="s">
        <v>38</v>
      </c>
      <c r="S35" s="7"/>
      <c r="T35" s="7">
        <v>5</v>
      </c>
      <c r="U35" s="7">
        <v>5</v>
      </c>
      <c r="V35" s="7">
        <v>140</v>
      </c>
      <c r="W35" s="7" t="s">
        <v>79</v>
      </c>
      <c r="X35" s="7"/>
      <c r="Y35" s="7"/>
      <c r="Z35" s="7"/>
      <c r="AA35" s="7"/>
      <c r="AB35" s="7">
        <f t="shared" si="3"/>
        <v>1.6666666666666667</v>
      </c>
      <c r="AC35" s="7">
        <f t="shared" si="2"/>
        <v>1.6666666666666667</v>
      </c>
      <c r="AD35" s="7"/>
      <c r="AE35" s="7"/>
      <c r="AF35" s="7"/>
      <c r="AG35" s="7"/>
      <c r="AH35" s="7"/>
      <c r="AI35" s="7"/>
      <c r="AJ35" s="7"/>
      <c r="AK35" s="7"/>
      <c r="AL35" s="9"/>
      <c r="AM35" s="7" t="s">
        <v>85</v>
      </c>
      <c r="AN35" s="7" t="s">
        <v>2848</v>
      </c>
      <c r="AO35" s="7"/>
    </row>
    <row r="36" spans="1:41" s="11" customFormat="1" x14ac:dyDescent="0.25">
      <c r="A36" s="2">
        <v>35</v>
      </c>
      <c r="B36" s="7" t="s">
        <v>43</v>
      </c>
      <c r="C36" s="7" t="s">
        <v>78</v>
      </c>
      <c r="D36" s="7" t="s">
        <v>86</v>
      </c>
      <c r="E36" s="7">
        <v>4</v>
      </c>
      <c r="F36" s="8">
        <v>2</v>
      </c>
      <c r="G36" s="8">
        <v>2</v>
      </c>
      <c r="H36" s="7" t="s">
        <v>87</v>
      </c>
      <c r="I36" s="7">
        <v>2</v>
      </c>
      <c r="J36" s="7" t="s">
        <v>77</v>
      </c>
      <c r="K36" s="7">
        <v>1</v>
      </c>
      <c r="L36" s="7" t="s">
        <v>38</v>
      </c>
      <c r="M36" s="7">
        <f t="shared" si="0"/>
        <v>0</v>
      </c>
      <c r="N36" s="9" t="s">
        <v>82</v>
      </c>
      <c r="O36" s="7">
        <v>0</v>
      </c>
      <c r="P36" s="9" t="s">
        <v>36</v>
      </c>
      <c r="Q36" s="7" t="s">
        <v>38</v>
      </c>
      <c r="R36" s="7" t="s">
        <v>38</v>
      </c>
      <c r="S36" s="7"/>
      <c r="T36" s="7">
        <v>10</v>
      </c>
      <c r="U36" s="7">
        <v>10</v>
      </c>
      <c r="V36" s="7">
        <v>60</v>
      </c>
      <c r="W36" s="7" t="s">
        <v>88</v>
      </c>
      <c r="X36" s="7"/>
      <c r="Y36" s="7"/>
      <c r="Z36" s="7"/>
      <c r="AA36" s="7"/>
      <c r="AB36" s="7">
        <f t="shared" si="3"/>
        <v>3.3333333333333335</v>
      </c>
      <c r="AC36" s="7">
        <f t="shared" si="2"/>
        <v>0</v>
      </c>
      <c r="AD36" s="7"/>
      <c r="AE36" s="7"/>
      <c r="AF36" s="7"/>
      <c r="AG36" s="7"/>
      <c r="AH36" s="7"/>
      <c r="AI36" s="7"/>
      <c r="AJ36" s="7"/>
      <c r="AK36" s="7"/>
      <c r="AL36" s="9"/>
      <c r="AM36" s="7" t="s">
        <v>42</v>
      </c>
      <c r="AN36" s="7" t="s">
        <v>42</v>
      </c>
      <c r="AO36" s="7"/>
    </row>
    <row r="37" spans="1:41" s="11" customFormat="1" x14ac:dyDescent="0.25">
      <c r="A37" s="2">
        <v>36</v>
      </c>
      <c r="B37" s="7" t="s">
        <v>43</v>
      </c>
      <c r="C37" s="7" t="s">
        <v>89</v>
      </c>
      <c r="D37" s="7" t="s">
        <v>90</v>
      </c>
      <c r="E37" s="7">
        <v>24</v>
      </c>
      <c r="F37" s="8">
        <v>2</v>
      </c>
      <c r="G37" s="8">
        <v>4</v>
      </c>
      <c r="H37" s="7" t="s">
        <v>91</v>
      </c>
      <c r="I37" s="7">
        <v>4</v>
      </c>
      <c r="J37" s="7" t="s">
        <v>70</v>
      </c>
      <c r="K37" s="7">
        <v>1</v>
      </c>
      <c r="L37" s="7" t="s">
        <v>52</v>
      </c>
      <c r="M37" s="7">
        <f t="shared" si="0"/>
        <v>2</v>
      </c>
      <c r="N37" s="9" t="s">
        <v>36</v>
      </c>
      <c r="O37" s="7">
        <v>0</v>
      </c>
      <c r="P37" s="9" t="s">
        <v>36</v>
      </c>
      <c r="Q37" s="7" t="s">
        <v>38</v>
      </c>
      <c r="R37" s="7" t="s">
        <v>38</v>
      </c>
      <c r="S37" s="7"/>
      <c r="T37" s="7"/>
      <c r="U37" s="7"/>
      <c r="V37" s="7"/>
      <c r="W37" s="7"/>
      <c r="X37" s="7">
        <v>3</v>
      </c>
      <c r="Y37" s="7"/>
      <c r="Z37" s="7"/>
      <c r="AA37" s="7"/>
      <c r="AB37" s="7">
        <f t="shared" si="3"/>
        <v>1</v>
      </c>
      <c r="AC37" s="7">
        <f t="shared" si="2"/>
        <v>1</v>
      </c>
      <c r="AD37" s="7"/>
      <c r="AE37" s="7"/>
      <c r="AF37" s="7"/>
      <c r="AG37" s="7"/>
      <c r="AH37" s="7"/>
      <c r="AI37" s="7"/>
      <c r="AJ37" s="7"/>
      <c r="AK37" s="7"/>
      <c r="AL37" s="9"/>
      <c r="AM37" s="7" t="s">
        <v>71</v>
      </c>
      <c r="AN37" s="7" t="s">
        <v>71</v>
      </c>
      <c r="AO37" s="12"/>
    </row>
    <row r="38" spans="1:41" s="11" customFormat="1" x14ac:dyDescent="0.25">
      <c r="A38" s="2">
        <v>37</v>
      </c>
      <c r="B38" s="7" t="s">
        <v>43</v>
      </c>
      <c r="C38" s="7" t="s">
        <v>89</v>
      </c>
      <c r="D38" s="7" t="s">
        <v>93</v>
      </c>
      <c r="E38" s="7">
        <v>17</v>
      </c>
      <c r="F38" s="8">
        <v>2</v>
      </c>
      <c r="G38" s="8">
        <v>2</v>
      </c>
      <c r="H38" s="7" t="s">
        <v>87</v>
      </c>
      <c r="I38" s="7">
        <v>2</v>
      </c>
      <c r="J38" s="7" t="s">
        <v>70</v>
      </c>
      <c r="K38" s="7">
        <v>1</v>
      </c>
      <c r="L38" s="7" t="s">
        <v>52</v>
      </c>
      <c r="M38" s="7">
        <f t="shared" si="0"/>
        <v>2</v>
      </c>
      <c r="N38" s="9" t="s">
        <v>36</v>
      </c>
      <c r="O38" s="7">
        <v>0</v>
      </c>
      <c r="P38" s="9" t="s">
        <v>36</v>
      </c>
      <c r="Q38" s="7" t="s">
        <v>38</v>
      </c>
      <c r="R38" s="7" t="s">
        <v>38</v>
      </c>
      <c r="S38" s="10" t="s">
        <v>1517</v>
      </c>
      <c r="T38" s="7"/>
      <c r="U38" s="7"/>
      <c r="V38" s="7"/>
      <c r="W38" s="7"/>
      <c r="X38" s="7">
        <v>3</v>
      </c>
      <c r="Y38" s="7"/>
      <c r="Z38" s="7"/>
      <c r="AA38" s="7"/>
      <c r="AB38" s="7">
        <f t="shared" si="3"/>
        <v>1</v>
      </c>
      <c r="AC38" s="7">
        <f t="shared" si="2"/>
        <v>1</v>
      </c>
      <c r="AD38" s="7"/>
      <c r="AE38" s="7"/>
      <c r="AF38" s="7"/>
      <c r="AG38" s="7"/>
      <c r="AH38" s="7"/>
      <c r="AI38" s="7"/>
      <c r="AJ38" s="7"/>
      <c r="AK38" s="7"/>
      <c r="AL38" s="9"/>
      <c r="AM38" s="7" t="s">
        <v>71</v>
      </c>
      <c r="AN38" s="7" t="s">
        <v>71</v>
      </c>
      <c r="AO38" s="12"/>
    </row>
    <row r="39" spans="1:41" s="11" customFormat="1" x14ac:dyDescent="0.25">
      <c r="A39" s="2">
        <v>38</v>
      </c>
      <c r="B39" s="7" t="s">
        <v>43</v>
      </c>
      <c r="C39" s="7" t="s">
        <v>89</v>
      </c>
      <c r="D39" s="7" t="s">
        <v>94</v>
      </c>
      <c r="E39" s="7">
        <f>23+15+7</f>
        <v>45</v>
      </c>
      <c r="F39" s="8">
        <v>1</v>
      </c>
      <c r="G39" s="9" t="s">
        <v>95</v>
      </c>
      <c r="H39" s="7">
        <v>3</v>
      </c>
      <c r="I39" s="7">
        <v>3</v>
      </c>
      <c r="J39" s="7" t="s">
        <v>35</v>
      </c>
      <c r="K39" s="7">
        <v>1</v>
      </c>
      <c r="L39" s="7" t="s">
        <v>52</v>
      </c>
      <c r="M39" s="7">
        <f t="shared" si="0"/>
        <v>1</v>
      </c>
      <c r="N39" s="9" t="s">
        <v>36</v>
      </c>
      <c r="O39" s="7">
        <v>0</v>
      </c>
      <c r="P39" s="9" t="s">
        <v>34</v>
      </c>
      <c r="Q39" s="7" t="s">
        <v>38</v>
      </c>
      <c r="R39" s="7" t="s">
        <v>38</v>
      </c>
      <c r="S39" s="7"/>
      <c r="T39" s="7"/>
      <c r="U39" s="7"/>
      <c r="V39" s="7"/>
      <c r="W39" s="7"/>
      <c r="X39" s="7">
        <v>3</v>
      </c>
      <c r="Y39" s="7"/>
      <c r="Z39" s="7"/>
      <c r="AA39" s="7"/>
      <c r="AB39" s="7">
        <f t="shared" si="3"/>
        <v>1</v>
      </c>
      <c r="AC39" s="7">
        <f t="shared" si="2"/>
        <v>1</v>
      </c>
      <c r="AD39" s="7"/>
      <c r="AE39" s="7"/>
      <c r="AF39" s="7"/>
      <c r="AG39" s="7"/>
      <c r="AH39" s="7"/>
      <c r="AI39" s="7"/>
      <c r="AJ39" s="7"/>
      <c r="AK39" s="7"/>
      <c r="AL39" s="9"/>
      <c r="AM39" s="7" t="s">
        <v>71</v>
      </c>
      <c r="AN39" s="7" t="s">
        <v>71</v>
      </c>
      <c r="AO39" s="12"/>
    </row>
    <row r="40" spans="1:41" s="11" customFormat="1" x14ac:dyDescent="0.25">
      <c r="A40" s="2">
        <v>39</v>
      </c>
      <c r="B40" s="7" t="s">
        <v>43</v>
      </c>
      <c r="C40" s="7" t="s">
        <v>89</v>
      </c>
      <c r="D40" s="7" t="s">
        <v>96</v>
      </c>
      <c r="E40" s="7">
        <v>13</v>
      </c>
      <c r="F40" s="8">
        <v>3</v>
      </c>
      <c r="G40" s="8">
        <v>3</v>
      </c>
      <c r="H40" s="7" t="s">
        <v>97</v>
      </c>
      <c r="I40" s="7">
        <v>3</v>
      </c>
      <c r="J40" s="7" t="s">
        <v>35</v>
      </c>
      <c r="K40" s="7">
        <v>2</v>
      </c>
      <c r="L40" s="7" t="s">
        <v>52</v>
      </c>
      <c r="M40" s="7">
        <f t="shared" si="0"/>
        <v>3</v>
      </c>
      <c r="N40" s="9" t="s">
        <v>34</v>
      </c>
      <c r="O40" s="7">
        <v>0</v>
      </c>
      <c r="P40" s="9" t="s">
        <v>63</v>
      </c>
      <c r="Q40" s="7" t="s">
        <v>38</v>
      </c>
      <c r="R40" s="7" t="s">
        <v>38</v>
      </c>
      <c r="S40" s="10" t="s">
        <v>1518</v>
      </c>
      <c r="T40" s="7"/>
      <c r="U40" s="7"/>
      <c r="V40" s="7"/>
      <c r="W40" s="7"/>
      <c r="X40" s="7">
        <v>3</v>
      </c>
      <c r="Y40" s="7"/>
      <c r="Z40" s="7"/>
      <c r="AA40" s="7"/>
      <c r="AB40" s="7">
        <f t="shared" si="3"/>
        <v>1</v>
      </c>
      <c r="AC40" s="7">
        <f t="shared" si="2"/>
        <v>1</v>
      </c>
      <c r="AD40" s="7"/>
      <c r="AE40" s="7"/>
      <c r="AF40" s="7"/>
      <c r="AG40" s="7"/>
      <c r="AH40" s="7"/>
      <c r="AI40" s="7"/>
      <c r="AJ40" s="7"/>
      <c r="AK40" s="7"/>
      <c r="AL40" s="9"/>
      <c r="AM40" s="7" t="s">
        <v>71</v>
      </c>
      <c r="AN40" s="7" t="s">
        <v>71</v>
      </c>
      <c r="AO40" s="12"/>
    </row>
    <row r="41" spans="1:41" s="11" customFormat="1" x14ac:dyDescent="0.25">
      <c r="A41" s="2">
        <v>40</v>
      </c>
      <c r="B41" s="7" t="s">
        <v>43</v>
      </c>
      <c r="C41" s="7" t="s">
        <v>89</v>
      </c>
      <c r="D41" s="7" t="s">
        <v>98</v>
      </c>
      <c r="E41" s="7">
        <v>6</v>
      </c>
      <c r="F41" s="8">
        <v>3</v>
      </c>
      <c r="G41" s="8">
        <v>3</v>
      </c>
      <c r="H41" s="7" t="s">
        <v>97</v>
      </c>
      <c r="I41" s="7">
        <v>3</v>
      </c>
      <c r="J41" s="7" t="s">
        <v>35</v>
      </c>
      <c r="K41" s="7">
        <v>2</v>
      </c>
      <c r="L41" s="7" t="s">
        <v>52</v>
      </c>
      <c r="M41" s="7">
        <f t="shared" si="0"/>
        <v>3</v>
      </c>
      <c r="N41" s="9" t="s">
        <v>34</v>
      </c>
      <c r="O41" s="7">
        <v>0</v>
      </c>
      <c r="P41" s="9" t="s">
        <v>63</v>
      </c>
      <c r="Q41" s="7" t="s">
        <v>38</v>
      </c>
      <c r="R41" s="7" t="s">
        <v>38</v>
      </c>
      <c r="S41" s="7"/>
      <c r="T41" s="7"/>
      <c r="U41" s="7"/>
      <c r="V41" s="7"/>
      <c r="W41" s="7"/>
      <c r="X41" s="7">
        <v>3</v>
      </c>
      <c r="Y41" s="7"/>
      <c r="Z41" s="7"/>
      <c r="AA41" s="7"/>
      <c r="AB41" s="7">
        <f t="shared" si="3"/>
        <v>1</v>
      </c>
      <c r="AC41" s="7">
        <f t="shared" si="2"/>
        <v>1</v>
      </c>
      <c r="AD41" s="7"/>
      <c r="AE41" s="7"/>
      <c r="AF41" s="7"/>
      <c r="AG41" s="7"/>
      <c r="AH41" s="7"/>
      <c r="AI41" s="7"/>
      <c r="AJ41" s="7"/>
      <c r="AK41" s="7"/>
      <c r="AL41" s="9"/>
      <c r="AM41" s="7" t="s">
        <v>71</v>
      </c>
      <c r="AN41" s="7" t="s">
        <v>71</v>
      </c>
      <c r="AO41" s="12"/>
    </row>
    <row r="42" spans="1:41" s="11" customFormat="1" x14ac:dyDescent="0.25">
      <c r="A42" s="2">
        <v>41</v>
      </c>
      <c r="B42" s="7" t="s">
        <v>43</v>
      </c>
      <c r="C42" s="7" t="s">
        <v>89</v>
      </c>
      <c r="D42" s="7" t="s">
        <v>99</v>
      </c>
      <c r="E42" s="7">
        <v>9</v>
      </c>
      <c r="F42" s="8">
        <v>3</v>
      </c>
      <c r="G42" s="8">
        <v>3</v>
      </c>
      <c r="H42" s="7" t="s">
        <v>97</v>
      </c>
      <c r="I42" s="7">
        <v>3</v>
      </c>
      <c r="J42" s="7" t="s">
        <v>35</v>
      </c>
      <c r="K42" s="7">
        <v>1</v>
      </c>
      <c r="L42" s="7" t="s">
        <v>52</v>
      </c>
      <c r="M42" s="7">
        <f t="shared" si="0"/>
        <v>3</v>
      </c>
      <c r="N42" s="9" t="s">
        <v>36</v>
      </c>
      <c r="O42" s="7">
        <v>0</v>
      </c>
      <c r="P42" s="9" t="s">
        <v>34</v>
      </c>
      <c r="Q42" s="7" t="s">
        <v>38</v>
      </c>
      <c r="R42" s="7" t="s">
        <v>38</v>
      </c>
      <c r="S42" s="7"/>
      <c r="T42" s="7"/>
      <c r="U42" s="7"/>
      <c r="V42" s="7"/>
      <c r="W42" s="7"/>
      <c r="X42" s="7">
        <v>3</v>
      </c>
      <c r="Y42" s="7"/>
      <c r="Z42" s="7"/>
      <c r="AA42" s="7"/>
      <c r="AB42" s="7">
        <f t="shared" si="3"/>
        <v>1</v>
      </c>
      <c r="AC42" s="7">
        <f t="shared" si="2"/>
        <v>1</v>
      </c>
      <c r="AD42" s="7"/>
      <c r="AE42" s="7"/>
      <c r="AF42" s="7"/>
      <c r="AG42" s="7"/>
      <c r="AH42" s="7"/>
      <c r="AI42" s="7"/>
      <c r="AJ42" s="7"/>
      <c r="AK42" s="7"/>
      <c r="AL42" s="9"/>
      <c r="AM42" s="7" t="s">
        <v>71</v>
      </c>
      <c r="AN42" s="7" t="s">
        <v>71</v>
      </c>
      <c r="AO42" s="12"/>
    </row>
    <row r="43" spans="1:41" s="11" customFormat="1" x14ac:dyDescent="0.25">
      <c r="A43" s="2">
        <v>42</v>
      </c>
      <c r="B43" s="7" t="s">
        <v>43</v>
      </c>
      <c r="C43" s="7" t="s">
        <v>100</v>
      </c>
      <c r="D43" s="7">
        <v>6</v>
      </c>
      <c r="E43" s="7">
        <v>6</v>
      </c>
      <c r="F43" s="8">
        <v>1</v>
      </c>
      <c r="G43" s="8">
        <v>1</v>
      </c>
      <c r="H43" s="7">
        <v>1</v>
      </c>
      <c r="I43" s="7">
        <v>1</v>
      </c>
      <c r="J43" s="7" t="s">
        <v>35</v>
      </c>
      <c r="K43" s="7">
        <v>2</v>
      </c>
      <c r="L43" s="7" t="s">
        <v>52</v>
      </c>
      <c r="M43" s="7">
        <f t="shared" si="0"/>
        <v>1</v>
      </c>
      <c r="N43" s="9" t="s">
        <v>36</v>
      </c>
      <c r="O43" s="7">
        <v>0</v>
      </c>
      <c r="P43" s="9" t="s">
        <v>33</v>
      </c>
      <c r="Q43" s="7" t="s">
        <v>38</v>
      </c>
      <c r="R43" s="7" t="s">
        <v>38</v>
      </c>
      <c r="S43" s="7"/>
      <c r="T43" s="7"/>
      <c r="U43" s="7"/>
      <c r="V43" s="7"/>
      <c r="W43" s="7"/>
      <c r="X43" s="7">
        <v>3</v>
      </c>
      <c r="Y43" s="7"/>
      <c r="Z43" s="7"/>
      <c r="AA43" s="7"/>
      <c r="AB43" s="7">
        <f t="shared" si="3"/>
        <v>1</v>
      </c>
      <c r="AC43" s="7">
        <f t="shared" si="2"/>
        <v>1</v>
      </c>
      <c r="AD43" s="7"/>
      <c r="AE43" s="7"/>
      <c r="AF43" s="7"/>
      <c r="AG43" s="7"/>
      <c r="AH43" s="7"/>
      <c r="AI43" s="7"/>
      <c r="AJ43" s="7"/>
      <c r="AK43" s="7"/>
      <c r="AL43" s="9"/>
      <c r="AM43" s="7" t="s">
        <v>71</v>
      </c>
      <c r="AN43" s="7" t="s">
        <v>71</v>
      </c>
      <c r="AO43" s="12"/>
    </row>
    <row r="44" spans="1:41" s="11" customFormat="1" x14ac:dyDescent="0.25">
      <c r="A44" s="2">
        <v>43</v>
      </c>
      <c r="B44" s="7" t="s">
        <v>43</v>
      </c>
      <c r="C44" s="7" t="s">
        <v>100</v>
      </c>
      <c r="D44" s="7">
        <v>6</v>
      </c>
      <c r="E44" s="7">
        <v>6</v>
      </c>
      <c r="F44" s="8">
        <v>1</v>
      </c>
      <c r="G44" s="8">
        <v>1</v>
      </c>
      <c r="H44" s="7">
        <v>1</v>
      </c>
      <c r="I44" s="7">
        <v>1</v>
      </c>
      <c r="J44" s="7" t="s">
        <v>35</v>
      </c>
      <c r="K44" s="7">
        <v>2</v>
      </c>
      <c r="L44" s="7" t="s">
        <v>52</v>
      </c>
      <c r="M44" s="7">
        <f t="shared" si="0"/>
        <v>1</v>
      </c>
      <c r="N44" s="9" t="s">
        <v>34</v>
      </c>
      <c r="O44" s="7">
        <v>0</v>
      </c>
      <c r="P44" s="9" t="s">
        <v>37</v>
      </c>
      <c r="Q44" s="7" t="s">
        <v>38</v>
      </c>
      <c r="R44" s="7" t="s">
        <v>38</v>
      </c>
      <c r="S44" s="7"/>
      <c r="T44" s="7"/>
      <c r="U44" s="7"/>
      <c r="V44" s="7"/>
      <c r="W44" s="7"/>
      <c r="X44" s="7">
        <v>3</v>
      </c>
      <c r="Y44" s="7"/>
      <c r="Z44" s="7"/>
      <c r="AA44" s="7"/>
      <c r="AB44" s="7">
        <f t="shared" si="3"/>
        <v>1</v>
      </c>
      <c r="AC44" s="7">
        <f t="shared" si="2"/>
        <v>1</v>
      </c>
      <c r="AD44" s="7"/>
      <c r="AE44" s="7"/>
      <c r="AF44" s="7"/>
      <c r="AG44" s="7"/>
      <c r="AH44" s="7"/>
      <c r="AI44" s="7"/>
      <c r="AJ44" s="7"/>
      <c r="AK44" s="7"/>
      <c r="AL44" s="9"/>
      <c r="AM44" s="7" t="s">
        <v>71</v>
      </c>
      <c r="AN44" s="7" t="s">
        <v>71</v>
      </c>
      <c r="AO44" s="12"/>
    </row>
    <row r="45" spans="1:41" s="11" customFormat="1" x14ac:dyDescent="0.25">
      <c r="A45" s="2">
        <v>44</v>
      </c>
      <c r="B45" s="7" t="s">
        <v>43</v>
      </c>
      <c r="C45" s="7" t="s">
        <v>100</v>
      </c>
      <c r="D45" s="7">
        <v>6</v>
      </c>
      <c r="E45" s="7">
        <v>6</v>
      </c>
      <c r="F45" s="8">
        <v>1</v>
      </c>
      <c r="G45" s="8">
        <v>1</v>
      </c>
      <c r="H45" s="7">
        <v>1</v>
      </c>
      <c r="I45" s="7">
        <v>1</v>
      </c>
      <c r="J45" s="7" t="s">
        <v>35</v>
      </c>
      <c r="K45" s="7">
        <v>2</v>
      </c>
      <c r="L45" s="7" t="s">
        <v>52</v>
      </c>
      <c r="M45" s="7">
        <f t="shared" si="0"/>
        <v>1</v>
      </c>
      <c r="N45" s="9" t="s">
        <v>36</v>
      </c>
      <c r="O45" s="7">
        <v>0</v>
      </c>
      <c r="P45" s="9" t="s">
        <v>63</v>
      </c>
      <c r="Q45" s="7" t="s">
        <v>38</v>
      </c>
      <c r="R45" s="7" t="s">
        <v>38</v>
      </c>
      <c r="S45" s="10" t="s">
        <v>1519</v>
      </c>
      <c r="T45" s="7"/>
      <c r="U45" s="7"/>
      <c r="V45" s="7"/>
      <c r="W45" s="7"/>
      <c r="X45" s="7">
        <v>3</v>
      </c>
      <c r="Y45" s="7"/>
      <c r="Z45" s="7"/>
      <c r="AA45" s="7"/>
      <c r="AB45" s="7">
        <f t="shared" si="3"/>
        <v>1</v>
      </c>
      <c r="AC45" s="7">
        <f t="shared" si="2"/>
        <v>1</v>
      </c>
      <c r="AD45" s="7"/>
      <c r="AE45" s="7">
        <v>1</v>
      </c>
      <c r="AF45" s="7"/>
      <c r="AG45" s="7"/>
      <c r="AH45" s="7"/>
      <c r="AI45" s="7"/>
      <c r="AJ45" s="7"/>
      <c r="AK45" s="7"/>
      <c r="AL45" s="9"/>
      <c r="AM45" s="7" t="s">
        <v>71</v>
      </c>
      <c r="AN45" s="7" t="s">
        <v>71</v>
      </c>
      <c r="AO45" s="12"/>
    </row>
    <row r="46" spans="1:41" s="11" customFormat="1" x14ac:dyDescent="0.25">
      <c r="A46" s="2">
        <v>45</v>
      </c>
      <c r="B46" s="7" t="s">
        <v>43</v>
      </c>
      <c r="C46" s="7" t="s">
        <v>100</v>
      </c>
      <c r="D46" s="7">
        <v>4</v>
      </c>
      <c r="E46" s="7">
        <v>4</v>
      </c>
      <c r="F46" s="8">
        <v>1</v>
      </c>
      <c r="G46" s="8">
        <v>1</v>
      </c>
      <c r="H46" s="7">
        <v>1</v>
      </c>
      <c r="I46" s="7">
        <v>1</v>
      </c>
      <c r="J46" s="7" t="s">
        <v>35</v>
      </c>
      <c r="K46" s="7">
        <v>2</v>
      </c>
      <c r="L46" s="7" t="s">
        <v>52</v>
      </c>
      <c r="M46" s="7">
        <f t="shared" si="0"/>
        <v>1</v>
      </c>
      <c r="N46" s="9" t="s">
        <v>34</v>
      </c>
      <c r="O46" s="7">
        <v>0</v>
      </c>
      <c r="P46" s="9" t="s">
        <v>36</v>
      </c>
      <c r="Q46" s="7" t="s">
        <v>38</v>
      </c>
      <c r="R46" s="7" t="s">
        <v>38</v>
      </c>
      <c r="S46" s="10"/>
      <c r="T46" s="7"/>
      <c r="U46" s="7"/>
      <c r="V46" s="7"/>
      <c r="W46" s="7"/>
      <c r="X46" s="7">
        <v>3</v>
      </c>
      <c r="Y46" s="7"/>
      <c r="Z46" s="7"/>
      <c r="AA46" s="7"/>
      <c r="AB46" s="7">
        <f t="shared" si="3"/>
        <v>1</v>
      </c>
      <c r="AC46" s="7">
        <f t="shared" si="2"/>
        <v>1</v>
      </c>
      <c r="AD46" s="7"/>
      <c r="AE46" s="7"/>
      <c r="AF46" s="7"/>
      <c r="AG46" s="7"/>
      <c r="AH46" s="7"/>
      <c r="AI46" s="7"/>
      <c r="AJ46" s="7"/>
      <c r="AK46" s="7"/>
      <c r="AL46" s="9"/>
      <c r="AM46" s="7" t="s">
        <v>71</v>
      </c>
      <c r="AN46" s="7" t="s">
        <v>71</v>
      </c>
      <c r="AO46" s="12"/>
    </row>
    <row r="47" spans="1:41" s="11" customFormat="1" x14ac:dyDescent="0.25">
      <c r="A47" s="2">
        <v>46</v>
      </c>
      <c r="B47" s="7" t="s">
        <v>101</v>
      </c>
      <c r="C47" s="7" t="s">
        <v>50</v>
      </c>
      <c r="D47" s="7" t="s">
        <v>102</v>
      </c>
      <c r="E47" s="7">
        <v>55</v>
      </c>
      <c r="F47" s="8">
        <v>1</v>
      </c>
      <c r="G47" s="8">
        <v>1</v>
      </c>
      <c r="H47" s="7">
        <v>1</v>
      </c>
      <c r="I47" s="7">
        <v>1</v>
      </c>
      <c r="J47" s="7" t="s">
        <v>77</v>
      </c>
      <c r="K47" s="7">
        <v>1</v>
      </c>
      <c r="L47" s="7" t="s">
        <v>52</v>
      </c>
      <c r="M47" s="7">
        <f t="shared" si="0"/>
        <v>1</v>
      </c>
      <c r="N47" s="9" t="s">
        <v>34</v>
      </c>
      <c r="O47" s="7">
        <v>0</v>
      </c>
      <c r="P47" s="9" t="s">
        <v>33</v>
      </c>
      <c r="Q47" s="7" t="s">
        <v>38</v>
      </c>
      <c r="R47" s="7" t="s">
        <v>38</v>
      </c>
      <c r="S47" s="10" t="s">
        <v>1520</v>
      </c>
      <c r="T47" s="7"/>
      <c r="U47" s="7"/>
      <c r="V47" s="7"/>
      <c r="W47" s="7"/>
      <c r="X47" s="7"/>
      <c r="Y47" s="7">
        <v>60</v>
      </c>
      <c r="Z47" s="7">
        <v>60</v>
      </c>
      <c r="AA47" s="7">
        <v>65</v>
      </c>
      <c r="AB47" s="7">
        <f t="shared" si="3"/>
        <v>20</v>
      </c>
      <c r="AC47" s="7">
        <f t="shared" si="2"/>
        <v>20</v>
      </c>
      <c r="AD47" s="7"/>
      <c r="AE47" s="7">
        <v>1</v>
      </c>
      <c r="AF47" s="7"/>
      <c r="AG47" s="7"/>
      <c r="AH47" s="7"/>
      <c r="AI47" s="7"/>
      <c r="AJ47" s="10" t="s">
        <v>2339</v>
      </c>
      <c r="AK47" s="7"/>
      <c r="AL47" s="9"/>
      <c r="AM47" s="7" t="s">
        <v>42</v>
      </c>
      <c r="AN47" s="7" t="s">
        <v>42</v>
      </c>
      <c r="AO47" s="10" t="s">
        <v>2517</v>
      </c>
    </row>
    <row r="48" spans="1:41" s="11" customFormat="1" x14ac:dyDescent="0.25">
      <c r="A48" s="2">
        <v>47</v>
      </c>
      <c r="B48" s="7" t="s">
        <v>31</v>
      </c>
      <c r="C48" s="7" t="s">
        <v>100</v>
      </c>
      <c r="D48" s="7">
        <v>4</v>
      </c>
      <c r="E48" s="7">
        <v>4</v>
      </c>
      <c r="F48" s="8">
        <v>1</v>
      </c>
      <c r="G48" s="8">
        <v>1</v>
      </c>
      <c r="H48" s="7">
        <v>1</v>
      </c>
      <c r="I48" s="7">
        <v>1</v>
      </c>
      <c r="J48" s="7" t="s">
        <v>35</v>
      </c>
      <c r="K48" s="7">
        <v>2</v>
      </c>
      <c r="L48" s="7" t="s">
        <v>52</v>
      </c>
      <c r="M48" s="7">
        <f t="shared" si="0"/>
        <v>1</v>
      </c>
      <c r="N48" s="9" t="s">
        <v>34</v>
      </c>
      <c r="O48" s="7">
        <v>1</v>
      </c>
      <c r="P48" s="9" t="s">
        <v>63</v>
      </c>
      <c r="Q48" s="7" t="s">
        <v>52</v>
      </c>
      <c r="R48" s="7" t="s">
        <v>38</v>
      </c>
      <c r="S48" s="10" t="s">
        <v>1521</v>
      </c>
      <c r="T48" s="7"/>
      <c r="U48" s="7"/>
      <c r="V48" s="7"/>
      <c r="W48" s="7"/>
      <c r="X48" s="7">
        <v>3</v>
      </c>
      <c r="Y48" s="7"/>
      <c r="Z48" s="7"/>
      <c r="AA48" s="7"/>
      <c r="AB48" s="7">
        <f t="shared" si="3"/>
        <v>1</v>
      </c>
      <c r="AC48" s="7">
        <f t="shared" si="2"/>
        <v>1</v>
      </c>
      <c r="AD48" s="7"/>
      <c r="AE48" s="7"/>
      <c r="AF48" s="7"/>
      <c r="AG48" s="7"/>
      <c r="AH48" s="7"/>
      <c r="AI48" s="7"/>
      <c r="AJ48" s="7"/>
      <c r="AK48" s="7"/>
      <c r="AL48" s="9"/>
      <c r="AM48" s="7" t="s">
        <v>71</v>
      </c>
      <c r="AN48" s="7" t="s">
        <v>71</v>
      </c>
      <c r="AO48" s="7"/>
    </row>
    <row r="49" spans="1:41" s="11" customFormat="1" x14ac:dyDescent="0.25">
      <c r="A49" s="2">
        <v>48</v>
      </c>
      <c r="B49" s="7" t="s">
        <v>103</v>
      </c>
      <c r="C49" s="7" t="s">
        <v>78</v>
      </c>
      <c r="D49" s="7">
        <v>2</v>
      </c>
      <c r="E49" s="7">
        <v>2</v>
      </c>
      <c r="F49" s="8">
        <v>1</v>
      </c>
      <c r="G49" s="8">
        <v>1</v>
      </c>
      <c r="H49" s="7">
        <v>1</v>
      </c>
      <c r="I49" s="7">
        <v>1</v>
      </c>
      <c r="J49" s="7" t="s">
        <v>77</v>
      </c>
      <c r="K49" s="7">
        <v>1</v>
      </c>
      <c r="L49" s="7" t="s">
        <v>38</v>
      </c>
      <c r="M49" s="7">
        <f t="shared" si="0"/>
        <v>0</v>
      </c>
      <c r="N49" s="9" t="s">
        <v>36</v>
      </c>
      <c r="O49" s="7">
        <v>0</v>
      </c>
      <c r="P49" s="9" t="s">
        <v>34</v>
      </c>
      <c r="Q49" s="7" t="s">
        <v>38</v>
      </c>
      <c r="R49" s="7" t="s">
        <v>38</v>
      </c>
      <c r="S49" s="7"/>
      <c r="T49" s="7">
        <v>9</v>
      </c>
      <c r="U49" s="7">
        <v>9</v>
      </c>
      <c r="V49" s="7">
        <v>90</v>
      </c>
      <c r="W49" s="7" t="s">
        <v>88</v>
      </c>
      <c r="X49" s="7"/>
      <c r="Y49" s="7"/>
      <c r="Z49" s="7"/>
      <c r="AA49" s="7"/>
      <c r="AB49" s="7">
        <f t="shared" si="3"/>
        <v>3</v>
      </c>
      <c r="AC49" s="7">
        <f t="shared" si="2"/>
        <v>0</v>
      </c>
      <c r="AD49" s="7"/>
      <c r="AE49" s="7"/>
      <c r="AF49" s="7"/>
      <c r="AG49" s="7"/>
      <c r="AH49" s="7"/>
      <c r="AI49" s="7"/>
      <c r="AJ49" s="7"/>
      <c r="AK49" s="7"/>
      <c r="AL49" s="9"/>
      <c r="AM49" s="7" t="s">
        <v>42</v>
      </c>
      <c r="AN49" s="7" t="s">
        <v>42</v>
      </c>
      <c r="AO49" s="7"/>
    </row>
    <row r="50" spans="1:41" s="11" customFormat="1" x14ac:dyDescent="0.25">
      <c r="A50" s="2">
        <v>49</v>
      </c>
      <c r="B50" s="7" t="s">
        <v>103</v>
      </c>
      <c r="C50" s="7" t="s">
        <v>100</v>
      </c>
      <c r="D50" s="7">
        <v>3</v>
      </c>
      <c r="E50" s="7">
        <v>3</v>
      </c>
      <c r="F50" s="8">
        <v>1</v>
      </c>
      <c r="G50" s="8">
        <v>1</v>
      </c>
      <c r="H50" s="7">
        <v>1</v>
      </c>
      <c r="I50" s="7">
        <v>1</v>
      </c>
      <c r="J50" s="7" t="s">
        <v>35</v>
      </c>
      <c r="K50" s="7">
        <v>2</v>
      </c>
      <c r="L50" s="7" t="s">
        <v>52</v>
      </c>
      <c r="M50" s="7">
        <f t="shared" si="0"/>
        <v>1</v>
      </c>
      <c r="N50" s="9" t="s">
        <v>36</v>
      </c>
      <c r="O50" s="7">
        <v>0</v>
      </c>
      <c r="P50" s="9" t="s">
        <v>34</v>
      </c>
      <c r="Q50" s="7" t="s">
        <v>38</v>
      </c>
      <c r="R50" s="7" t="s">
        <v>38</v>
      </c>
      <c r="S50" s="10" t="s">
        <v>1522</v>
      </c>
      <c r="T50" s="7"/>
      <c r="U50" s="7"/>
      <c r="V50" s="7"/>
      <c r="W50" s="7"/>
      <c r="X50" s="7">
        <v>3</v>
      </c>
      <c r="Y50" s="7"/>
      <c r="Z50" s="7"/>
      <c r="AA50" s="7"/>
      <c r="AB50" s="7">
        <f t="shared" si="3"/>
        <v>1</v>
      </c>
      <c r="AC50" s="7">
        <f t="shared" si="2"/>
        <v>1</v>
      </c>
      <c r="AD50" s="7"/>
      <c r="AE50" s="7"/>
      <c r="AF50" s="7"/>
      <c r="AG50" s="7"/>
      <c r="AH50" s="7"/>
      <c r="AI50" s="7"/>
      <c r="AJ50" s="7"/>
      <c r="AK50" s="7"/>
      <c r="AL50" s="9"/>
      <c r="AM50" s="7" t="s">
        <v>71</v>
      </c>
      <c r="AN50" s="7" t="s">
        <v>71</v>
      </c>
      <c r="AO50" s="12"/>
    </row>
    <row r="51" spans="1:41" s="11" customFormat="1" x14ac:dyDescent="0.25">
      <c r="A51" s="2">
        <v>50</v>
      </c>
      <c r="B51" s="7" t="s">
        <v>73</v>
      </c>
      <c r="C51" s="7" t="s">
        <v>78</v>
      </c>
      <c r="D51" s="7">
        <v>2</v>
      </c>
      <c r="E51" s="7">
        <v>2</v>
      </c>
      <c r="F51" s="8">
        <v>1</v>
      </c>
      <c r="G51" s="8">
        <v>1</v>
      </c>
      <c r="H51" s="7">
        <v>1</v>
      </c>
      <c r="I51" s="7">
        <v>1</v>
      </c>
      <c r="J51" s="7" t="s">
        <v>77</v>
      </c>
      <c r="K51" s="7">
        <v>1</v>
      </c>
      <c r="L51" s="7" t="s">
        <v>38</v>
      </c>
      <c r="M51" s="7">
        <f t="shared" si="0"/>
        <v>0</v>
      </c>
      <c r="N51" s="9" t="s">
        <v>36</v>
      </c>
      <c r="O51" s="7">
        <v>0</v>
      </c>
      <c r="P51" s="9" t="s">
        <v>34</v>
      </c>
      <c r="Q51" s="7" t="s">
        <v>38</v>
      </c>
      <c r="R51" s="7" t="s">
        <v>38</v>
      </c>
      <c r="S51" s="7"/>
      <c r="T51" s="7">
        <v>5</v>
      </c>
      <c r="U51" s="7">
        <v>5</v>
      </c>
      <c r="V51" s="7">
        <v>110</v>
      </c>
      <c r="W51" s="7" t="s">
        <v>88</v>
      </c>
      <c r="X51" s="7"/>
      <c r="Y51" s="7"/>
      <c r="Z51" s="7"/>
      <c r="AA51" s="7"/>
      <c r="AB51" s="7">
        <f t="shared" si="3"/>
        <v>1.6666666666666667</v>
      </c>
      <c r="AC51" s="7">
        <f t="shared" si="2"/>
        <v>0</v>
      </c>
      <c r="AD51" s="7"/>
      <c r="AE51" s="7"/>
      <c r="AF51" s="7"/>
      <c r="AG51" s="7"/>
      <c r="AH51" s="7"/>
      <c r="AI51" s="7"/>
      <c r="AJ51" s="7"/>
      <c r="AK51" s="7"/>
      <c r="AL51" s="9"/>
      <c r="AM51" s="7" t="s">
        <v>42</v>
      </c>
      <c r="AN51" s="7" t="s">
        <v>42</v>
      </c>
      <c r="AO51" s="7"/>
    </row>
    <row r="52" spans="1:41" s="11" customFormat="1" x14ac:dyDescent="0.25">
      <c r="A52" s="2">
        <v>51</v>
      </c>
      <c r="B52" s="7" t="s">
        <v>73</v>
      </c>
      <c r="C52" s="7" t="s">
        <v>78</v>
      </c>
      <c r="D52" s="7">
        <v>2</v>
      </c>
      <c r="E52" s="7">
        <v>2</v>
      </c>
      <c r="F52" s="8">
        <v>1</v>
      </c>
      <c r="G52" s="8">
        <v>1</v>
      </c>
      <c r="H52" s="7">
        <v>1</v>
      </c>
      <c r="I52" s="7">
        <v>1</v>
      </c>
      <c r="J52" s="7" t="s">
        <v>77</v>
      </c>
      <c r="K52" s="7">
        <v>1</v>
      </c>
      <c r="L52" s="7" t="s">
        <v>38</v>
      </c>
      <c r="M52" s="7">
        <f t="shared" si="0"/>
        <v>0</v>
      </c>
      <c r="N52" s="9" t="s">
        <v>34</v>
      </c>
      <c r="O52" s="7">
        <v>0</v>
      </c>
      <c r="P52" s="9" t="s">
        <v>37</v>
      </c>
      <c r="Q52" s="7" t="s">
        <v>38</v>
      </c>
      <c r="R52" s="7" t="s">
        <v>38</v>
      </c>
      <c r="S52" s="10" t="s">
        <v>1523</v>
      </c>
      <c r="T52" s="7">
        <v>5</v>
      </c>
      <c r="U52" s="7">
        <v>5</v>
      </c>
      <c r="V52" s="7">
        <v>120</v>
      </c>
      <c r="W52" s="7" t="s">
        <v>88</v>
      </c>
      <c r="X52" s="7"/>
      <c r="Y52" s="7"/>
      <c r="Z52" s="7"/>
      <c r="AA52" s="7"/>
      <c r="AB52" s="7">
        <f t="shared" si="3"/>
        <v>1.6666666666666667</v>
      </c>
      <c r="AC52" s="7">
        <f t="shared" si="2"/>
        <v>0</v>
      </c>
      <c r="AD52" s="7"/>
      <c r="AE52" s="7"/>
      <c r="AF52" s="7"/>
      <c r="AG52" s="7"/>
      <c r="AH52" s="7"/>
      <c r="AI52" s="7"/>
      <c r="AJ52" s="7"/>
      <c r="AK52" s="7"/>
      <c r="AL52" s="9"/>
      <c r="AM52" s="7" t="s">
        <v>42</v>
      </c>
      <c r="AN52" s="7" t="s">
        <v>42</v>
      </c>
      <c r="AO52" s="7"/>
    </row>
    <row r="53" spans="1:41" s="11" customFormat="1" ht="24" x14ac:dyDescent="0.25">
      <c r="A53" s="2">
        <v>52</v>
      </c>
      <c r="B53" s="7" t="s">
        <v>73</v>
      </c>
      <c r="C53" s="7" t="s">
        <v>78</v>
      </c>
      <c r="D53" s="7">
        <v>3</v>
      </c>
      <c r="E53" s="7">
        <v>3</v>
      </c>
      <c r="F53" s="8">
        <v>1</v>
      </c>
      <c r="G53" s="8">
        <v>1</v>
      </c>
      <c r="H53" s="7">
        <v>1</v>
      </c>
      <c r="I53" s="7">
        <v>1</v>
      </c>
      <c r="J53" s="7" t="s">
        <v>35</v>
      </c>
      <c r="K53" s="7">
        <v>1</v>
      </c>
      <c r="L53" s="7" t="s">
        <v>52</v>
      </c>
      <c r="M53" s="7">
        <f t="shared" si="0"/>
        <v>1</v>
      </c>
      <c r="N53" s="9" t="s">
        <v>34</v>
      </c>
      <c r="O53" s="7">
        <v>0</v>
      </c>
      <c r="P53" s="9" t="s">
        <v>34</v>
      </c>
      <c r="Q53" s="7" t="s">
        <v>38</v>
      </c>
      <c r="R53" s="7" t="s">
        <v>38</v>
      </c>
      <c r="S53" s="7"/>
      <c r="T53" s="7">
        <v>5</v>
      </c>
      <c r="U53" s="7">
        <v>5</v>
      </c>
      <c r="V53" s="7">
        <v>120</v>
      </c>
      <c r="W53" s="7" t="s">
        <v>83</v>
      </c>
      <c r="X53" s="7"/>
      <c r="Y53" s="7"/>
      <c r="Z53" s="7"/>
      <c r="AA53" s="7"/>
      <c r="AB53" s="7">
        <f t="shared" si="3"/>
        <v>1.6666666666666667</v>
      </c>
      <c r="AC53" s="7">
        <f t="shared" si="2"/>
        <v>1.6666666666666667</v>
      </c>
      <c r="AD53" s="7"/>
      <c r="AE53" s="7"/>
      <c r="AF53" s="7"/>
      <c r="AG53" s="7"/>
      <c r="AH53" s="7"/>
      <c r="AI53" s="7"/>
      <c r="AJ53" s="7"/>
      <c r="AK53" s="7"/>
      <c r="AL53" s="9"/>
      <c r="AM53" s="7" t="s">
        <v>42</v>
      </c>
      <c r="AN53" s="7" t="s">
        <v>42</v>
      </c>
      <c r="AO53" s="7"/>
    </row>
    <row r="54" spans="1:41" s="11" customFormat="1" x14ac:dyDescent="0.25">
      <c r="A54" s="2">
        <v>53</v>
      </c>
      <c r="B54" s="7" t="s">
        <v>73</v>
      </c>
      <c r="C54" s="7" t="s">
        <v>104</v>
      </c>
      <c r="D54" s="7" t="s">
        <v>105</v>
      </c>
      <c r="E54" s="7">
        <v>27</v>
      </c>
      <c r="F54" s="8">
        <v>1</v>
      </c>
      <c r="G54" s="8">
        <v>2</v>
      </c>
      <c r="H54" s="7" t="s">
        <v>87</v>
      </c>
      <c r="I54" s="7">
        <v>2</v>
      </c>
      <c r="J54" s="7" t="s">
        <v>35</v>
      </c>
      <c r="K54" s="7">
        <v>1</v>
      </c>
      <c r="L54" s="7" t="s">
        <v>52</v>
      </c>
      <c r="M54" s="7">
        <f t="shared" si="0"/>
        <v>1</v>
      </c>
      <c r="N54" s="9" t="s">
        <v>34</v>
      </c>
      <c r="O54" s="7">
        <v>0</v>
      </c>
      <c r="P54" s="9" t="s">
        <v>33</v>
      </c>
      <c r="Q54" s="7" t="s">
        <v>38</v>
      </c>
      <c r="R54" s="7" t="s">
        <v>38</v>
      </c>
      <c r="S54" s="10" t="s">
        <v>1524</v>
      </c>
      <c r="T54" s="7"/>
      <c r="U54" s="7"/>
      <c r="V54" s="7"/>
      <c r="W54" s="7"/>
      <c r="X54" s="7">
        <v>3</v>
      </c>
      <c r="Y54" s="7"/>
      <c r="Z54" s="7"/>
      <c r="AA54" s="7"/>
      <c r="AB54" s="7">
        <f t="shared" si="3"/>
        <v>1</v>
      </c>
      <c r="AC54" s="7">
        <f t="shared" si="2"/>
        <v>1</v>
      </c>
      <c r="AD54" s="7"/>
      <c r="AE54" s="7">
        <v>1</v>
      </c>
      <c r="AF54" s="7" t="s">
        <v>40</v>
      </c>
      <c r="AG54" s="7" t="s">
        <v>106</v>
      </c>
      <c r="AH54" s="7"/>
      <c r="AI54" s="7"/>
      <c r="AJ54" s="7"/>
      <c r="AK54" s="7"/>
      <c r="AL54" s="9"/>
      <c r="AM54" s="7" t="s">
        <v>71</v>
      </c>
      <c r="AN54" s="7" t="s">
        <v>71</v>
      </c>
      <c r="AO54" s="7"/>
    </row>
    <row r="55" spans="1:41" s="11" customFormat="1" x14ac:dyDescent="0.25">
      <c r="A55" s="2">
        <v>54</v>
      </c>
      <c r="B55" s="7" t="s">
        <v>73</v>
      </c>
      <c r="C55" s="7" t="s">
        <v>100</v>
      </c>
      <c r="D55" s="7">
        <v>4</v>
      </c>
      <c r="E55" s="7">
        <v>4</v>
      </c>
      <c r="F55" s="8">
        <v>1</v>
      </c>
      <c r="G55" s="8">
        <v>1</v>
      </c>
      <c r="H55" s="7">
        <v>1</v>
      </c>
      <c r="I55" s="7">
        <v>1</v>
      </c>
      <c r="J55" s="7" t="s">
        <v>35</v>
      </c>
      <c r="K55" s="7">
        <v>1</v>
      </c>
      <c r="L55" s="7" t="s">
        <v>52</v>
      </c>
      <c r="M55" s="7">
        <f t="shared" si="0"/>
        <v>1</v>
      </c>
      <c r="N55" s="9" t="s">
        <v>34</v>
      </c>
      <c r="O55" s="7">
        <v>0</v>
      </c>
      <c r="P55" s="9" t="s">
        <v>33</v>
      </c>
      <c r="Q55" s="7" t="s">
        <v>38</v>
      </c>
      <c r="R55" s="7" t="s">
        <v>38</v>
      </c>
      <c r="S55" s="10" t="s">
        <v>1525</v>
      </c>
      <c r="T55" s="7"/>
      <c r="U55" s="7"/>
      <c r="V55" s="7"/>
      <c r="W55" s="7"/>
      <c r="X55" s="7">
        <v>3</v>
      </c>
      <c r="Y55" s="7"/>
      <c r="Z55" s="7"/>
      <c r="AA55" s="7"/>
      <c r="AB55" s="7">
        <f t="shared" si="3"/>
        <v>1</v>
      </c>
      <c r="AC55" s="7">
        <f t="shared" si="2"/>
        <v>1</v>
      </c>
      <c r="AD55" s="7"/>
      <c r="AE55" s="7"/>
      <c r="AF55" s="7"/>
      <c r="AG55" s="7"/>
      <c r="AH55" s="7"/>
      <c r="AI55" s="7"/>
      <c r="AJ55" s="7"/>
      <c r="AK55" s="7"/>
      <c r="AL55" s="9"/>
      <c r="AM55" s="7" t="s">
        <v>71</v>
      </c>
      <c r="AN55" s="7" t="s">
        <v>71</v>
      </c>
      <c r="AO55" s="12"/>
    </row>
    <row r="56" spans="1:41" s="11" customFormat="1" ht="24" x14ac:dyDescent="0.25">
      <c r="A56" s="2">
        <v>55</v>
      </c>
      <c r="B56" s="7" t="s">
        <v>73</v>
      </c>
      <c r="C56" s="7" t="s">
        <v>100</v>
      </c>
      <c r="D56" s="7">
        <v>11</v>
      </c>
      <c r="E56" s="7">
        <v>11</v>
      </c>
      <c r="F56" s="8">
        <v>1</v>
      </c>
      <c r="G56" s="8">
        <v>1</v>
      </c>
      <c r="H56" s="7">
        <v>1</v>
      </c>
      <c r="I56" s="7">
        <v>1</v>
      </c>
      <c r="J56" s="7" t="s">
        <v>70</v>
      </c>
      <c r="K56" s="7">
        <v>1</v>
      </c>
      <c r="L56" s="7" t="s">
        <v>52</v>
      </c>
      <c r="M56" s="7">
        <f t="shared" si="0"/>
        <v>1</v>
      </c>
      <c r="N56" s="9" t="s">
        <v>82</v>
      </c>
      <c r="O56" s="7">
        <v>3</v>
      </c>
      <c r="P56" s="9" t="s">
        <v>63</v>
      </c>
      <c r="Q56" s="7" t="s">
        <v>38</v>
      </c>
      <c r="R56" s="7" t="s">
        <v>38</v>
      </c>
      <c r="S56" s="10" t="s">
        <v>1526</v>
      </c>
      <c r="T56" s="7"/>
      <c r="U56" s="7"/>
      <c r="V56" s="7"/>
      <c r="W56" s="7"/>
      <c r="X56" s="7">
        <v>3</v>
      </c>
      <c r="Y56" s="7"/>
      <c r="Z56" s="7"/>
      <c r="AA56" s="7"/>
      <c r="AB56" s="7">
        <f t="shared" si="3"/>
        <v>1</v>
      </c>
      <c r="AC56" s="7">
        <f t="shared" si="2"/>
        <v>1</v>
      </c>
      <c r="AD56" s="7"/>
      <c r="AE56" s="7"/>
      <c r="AF56" s="7"/>
      <c r="AG56" s="7"/>
      <c r="AH56" s="7"/>
      <c r="AI56" s="7"/>
      <c r="AJ56" s="7"/>
      <c r="AK56" s="7"/>
      <c r="AL56" s="9"/>
      <c r="AM56" s="7" t="s">
        <v>71</v>
      </c>
      <c r="AN56" s="7" t="s">
        <v>71</v>
      </c>
      <c r="AO56" s="12"/>
    </row>
    <row r="57" spans="1:41" s="11" customFormat="1" x14ac:dyDescent="0.25">
      <c r="A57" s="2">
        <v>56</v>
      </c>
      <c r="B57" s="7" t="s">
        <v>73</v>
      </c>
      <c r="C57" s="7" t="s">
        <v>100</v>
      </c>
      <c r="D57" s="7">
        <v>2</v>
      </c>
      <c r="E57" s="7">
        <v>2</v>
      </c>
      <c r="F57" s="8">
        <v>1</v>
      </c>
      <c r="G57" s="8">
        <v>1</v>
      </c>
      <c r="H57" s="7">
        <v>1</v>
      </c>
      <c r="I57" s="7">
        <v>1</v>
      </c>
      <c r="J57" s="7" t="s">
        <v>35</v>
      </c>
      <c r="K57" s="7">
        <v>2</v>
      </c>
      <c r="L57" s="7" t="s">
        <v>52</v>
      </c>
      <c r="M57" s="7">
        <f t="shared" si="0"/>
        <v>1</v>
      </c>
      <c r="N57" s="9" t="s">
        <v>36</v>
      </c>
      <c r="O57" s="7">
        <v>0</v>
      </c>
      <c r="P57" s="9" t="s">
        <v>36</v>
      </c>
      <c r="Q57" s="7" t="s">
        <v>38</v>
      </c>
      <c r="R57" s="7" t="s">
        <v>38</v>
      </c>
      <c r="S57" s="10" t="s">
        <v>500</v>
      </c>
      <c r="T57" s="7"/>
      <c r="U57" s="7"/>
      <c r="V57" s="7"/>
      <c r="W57" s="7"/>
      <c r="X57" s="7">
        <v>3</v>
      </c>
      <c r="Y57" s="7"/>
      <c r="Z57" s="7"/>
      <c r="AA57" s="7"/>
      <c r="AB57" s="7">
        <f t="shared" si="3"/>
        <v>1</v>
      </c>
      <c r="AC57" s="7">
        <f t="shared" si="2"/>
        <v>1</v>
      </c>
      <c r="AD57" s="7"/>
      <c r="AE57" s="7"/>
      <c r="AF57" s="7"/>
      <c r="AG57" s="7"/>
      <c r="AH57" s="7"/>
      <c r="AI57" s="7"/>
      <c r="AJ57" s="7"/>
      <c r="AK57" s="7"/>
      <c r="AL57" s="9"/>
      <c r="AM57" s="7" t="s">
        <v>71</v>
      </c>
      <c r="AN57" s="7" t="s">
        <v>71</v>
      </c>
      <c r="AO57" s="12"/>
    </row>
    <row r="58" spans="1:41" s="11" customFormat="1" x14ac:dyDescent="0.25">
      <c r="A58" s="2">
        <v>57</v>
      </c>
      <c r="B58" s="7" t="s">
        <v>73</v>
      </c>
      <c r="C58" s="7" t="s">
        <v>100</v>
      </c>
      <c r="D58" s="7">
        <v>2</v>
      </c>
      <c r="E58" s="7">
        <v>2</v>
      </c>
      <c r="F58" s="8">
        <v>1</v>
      </c>
      <c r="G58" s="8">
        <v>1</v>
      </c>
      <c r="H58" s="7">
        <v>1</v>
      </c>
      <c r="I58" s="7">
        <v>1</v>
      </c>
      <c r="J58" s="7" t="s">
        <v>70</v>
      </c>
      <c r="K58" s="7">
        <v>1</v>
      </c>
      <c r="L58" s="7" t="s">
        <v>52</v>
      </c>
      <c r="M58" s="7">
        <f t="shared" si="0"/>
        <v>1</v>
      </c>
      <c r="N58" s="9" t="s">
        <v>34</v>
      </c>
      <c r="O58" s="7">
        <v>0</v>
      </c>
      <c r="P58" s="9" t="s">
        <v>34</v>
      </c>
      <c r="Q58" s="7" t="s">
        <v>38</v>
      </c>
      <c r="R58" s="7" t="s">
        <v>38</v>
      </c>
      <c r="S58" s="7"/>
      <c r="T58" s="7"/>
      <c r="U58" s="7"/>
      <c r="V58" s="7"/>
      <c r="W58" s="7"/>
      <c r="X58" s="7">
        <v>3</v>
      </c>
      <c r="Y58" s="7"/>
      <c r="Z58" s="7"/>
      <c r="AA58" s="7"/>
      <c r="AB58" s="7">
        <f t="shared" si="3"/>
        <v>1</v>
      </c>
      <c r="AC58" s="7">
        <f t="shared" si="2"/>
        <v>1</v>
      </c>
      <c r="AD58" s="7"/>
      <c r="AE58" s="7"/>
      <c r="AF58" s="7"/>
      <c r="AG58" s="7"/>
      <c r="AH58" s="7"/>
      <c r="AI58" s="7"/>
      <c r="AJ58" s="7"/>
      <c r="AK58" s="7"/>
      <c r="AL58" s="9"/>
      <c r="AM58" s="7" t="s">
        <v>71</v>
      </c>
      <c r="AN58" s="7" t="s">
        <v>71</v>
      </c>
      <c r="AO58" s="12"/>
    </row>
    <row r="59" spans="1:41" s="11" customFormat="1" x14ac:dyDescent="0.25">
      <c r="A59" s="2">
        <v>58</v>
      </c>
      <c r="B59" s="7" t="s">
        <v>73</v>
      </c>
      <c r="C59" s="7" t="s">
        <v>100</v>
      </c>
      <c r="D59" s="7">
        <v>5</v>
      </c>
      <c r="E59" s="7">
        <v>5</v>
      </c>
      <c r="F59" s="8">
        <v>1</v>
      </c>
      <c r="G59" s="8">
        <v>1</v>
      </c>
      <c r="H59" s="7">
        <v>1</v>
      </c>
      <c r="I59" s="7">
        <v>1</v>
      </c>
      <c r="J59" s="7" t="s">
        <v>77</v>
      </c>
      <c r="K59" s="7">
        <v>1</v>
      </c>
      <c r="L59" s="7" t="s">
        <v>38</v>
      </c>
      <c r="M59" s="7">
        <f t="shared" si="0"/>
        <v>0</v>
      </c>
      <c r="N59" s="9" t="s">
        <v>82</v>
      </c>
      <c r="O59" s="7">
        <v>0</v>
      </c>
      <c r="P59" s="9" t="s">
        <v>34</v>
      </c>
      <c r="Q59" s="7" t="s">
        <v>38</v>
      </c>
      <c r="R59" s="7" t="s">
        <v>38</v>
      </c>
      <c r="S59" s="10" t="s">
        <v>1527</v>
      </c>
      <c r="T59" s="7"/>
      <c r="U59" s="7"/>
      <c r="V59" s="7"/>
      <c r="W59" s="7"/>
      <c r="X59" s="7">
        <v>3</v>
      </c>
      <c r="Y59" s="7"/>
      <c r="Z59" s="7"/>
      <c r="AA59" s="7"/>
      <c r="AB59" s="7">
        <f t="shared" si="3"/>
        <v>1</v>
      </c>
      <c r="AC59" s="7">
        <f t="shared" si="2"/>
        <v>0</v>
      </c>
      <c r="AD59" s="7"/>
      <c r="AE59" s="7"/>
      <c r="AF59" s="7"/>
      <c r="AG59" s="7"/>
      <c r="AH59" s="7"/>
      <c r="AI59" s="7"/>
      <c r="AJ59" s="7"/>
      <c r="AK59" s="7"/>
      <c r="AL59" s="9"/>
      <c r="AM59" s="7" t="s">
        <v>71</v>
      </c>
      <c r="AN59" s="7" t="s">
        <v>71</v>
      </c>
      <c r="AO59" s="12"/>
    </row>
    <row r="60" spans="1:41" s="11" customFormat="1" x14ac:dyDescent="0.25">
      <c r="A60" s="2">
        <v>59</v>
      </c>
      <c r="B60" s="7" t="s">
        <v>73</v>
      </c>
      <c r="C60" s="7" t="s">
        <v>100</v>
      </c>
      <c r="D60" s="7">
        <v>3</v>
      </c>
      <c r="E60" s="7">
        <v>3</v>
      </c>
      <c r="F60" s="8">
        <v>1</v>
      </c>
      <c r="G60" s="8">
        <v>1</v>
      </c>
      <c r="H60" s="7">
        <v>1</v>
      </c>
      <c r="I60" s="7">
        <v>1</v>
      </c>
      <c r="J60" s="7" t="s">
        <v>35</v>
      </c>
      <c r="K60" s="7">
        <v>2</v>
      </c>
      <c r="L60" s="7" t="s">
        <v>52</v>
      </c>
      <c r="M60" s="7">
        <f t="shared" si="0"/>
        <v>1</v>
      </c>
      <c r="N60" s="9" t="s">
        <v>34</v>
      </c>
      <c r="O60" s="7">
        <v>0</v>
      </c>
      <c r="P60" s="9" t="s">
        <v>37</v>
      </c>
      <c r="Q60" s="7" t="s">
        <v>38</v>
      </c>
      <c r="R60" s="7" t="s">
        <v>38</v>
      </c>
      <c r="S60" s="7"/>
      <c r="T60" s="7"/>
      <c r="U60" s="7"/>
      <c r="V60" s="7"/>
      <c r="W60" s="7"/>
      <c r="X60" s="7">
        <v>3</v>
      </c>
      <c r="Y60" s="7"/>
      <c r="Z60" s="7"/>
      <c r="AA60" s="7"/>
      <c r="AB60" s="7">
        <f t="shared" si="3"/>
        <v>1</v>
      </c>
      <c r="AC60" s="7">
        <f t="shared" si="2"/>
        <v>1</v>
      </c>
      <c r="AD60" s="7"/>
      <c r="AE60" s="7"/>
      <c r="AF60" s="7"/>
      <c r="AG60" s="7"/>
      <c r="AH60" s="7"/>
      <c r="AI60" s="7"/>
      <c r="AJ60" s="7"/>
      <c r="AK60" s="7"/>
      <c r="AL60" s="9"/>
      <c r="AM60" s="7" t="s">
        <v>71</v>
      </c>
      <c r="AN60" s="7" t="s">
        <v>71</v>
      </c>
      <c r="AO60" s="12"/>
    </row>
    <row r="61" spans="1:41" s="11" customFormat="1" ht="24" x14ac:dyDescent="0.25">
      <c r="A61" s="2">
        <v>60</v>
      </c>
      <c r="B61" s="7" t="s">
        <v>57</v>
      </c>
      <c r="C61" s="7" t="s">
        <v>107</v>
      </c>
      <c r="D61" s="7" t="s">
        <v>108</v>
      </c>
      <c r="E61" s="7">
        <f>137+46+18+11+8</f>
        <v>220</v>
      </c>
      <c r="F61" s="8">
        <v>1</v>
      </c>
      <c r="G61" s="8">
        <v>7</v>
      </c>
      <c r="H61" s="7" t="s">
        <v>110</v>
      </c>
      <c r="I61" s="7">
        <v>7</v>
      </c>
      <c r="J61" s="7" t="s">
        <v>35</v>
      </c>
      <c r="K61" s="7">
        <v>2</v>
      </c>
      <c r="L61" s="7" t="s">
        <v>52</v>
      </c>
      <c r="M61" s="7">
        <f t="shared" si="0"/>
        <v>1</v>
      </c>
      <c r="N61" s="9" t="s">
        <v>36</v>
      </c>
      <c r="O61" s="7">
        <v>0</v>
      </c>
      <c r="P61" s="9" t="s">
        <v>34</v>
      </c>
      <c r="Q61" s="7" t="s">
        <v>38</v>
      </c>
      <c r="R61" s="7" t="s">
        <v>38</v>
      </c>
      <c r="S61" s="10" t="s">
        <v>1528</v>
      </c>
      <c r="T61" s="7"/>
      <c r="U61" s="7"/>
      <c r="V61" s="7"/>
      <c r="W61" s="7"/>
      <c r="X61" s="7"/>
      <c r="Y61" s="7">
        <v>37</v>
      </c>
      <c r="Z61" s="7">
        <v>37</v>
      </c>
      <c r="AA61" s="7">
        <v>115</v>
      </c>
      <c r="AB61" s="7">
        <f t="shared" si="3"/>
        <v>12.333333333333334</v>
      </c>
      <c r="AC61" s="7">
        <f t="shared" si="2"/>
        <v>12.333333333333334</v>
      </c>
      <c r="AD61" s="7"/>
      <c r="AE61" s="7"/>
      <c r="AF61" s="7"/>
      <c r="AG61" s="7"/>
      <c r="AH61" s="7"/>
      <c r="AI61" s="7"/>
      <c r="AJ61" s="7"/>
      <c r="AK61" s="7"/>
      <c r="AL61" s="9"/>
      <c r="AM61" s="7" t="s">
        <v>111</v>
      </c>
      <c r="AN61" s="7" t="s">
        <v>2848</v>
      </c>
      <c r="AO61" s="7"/>
    </row>
    <row r="62" spans="1:41" s="11" customFormat="1" x14ac:dyDescent="0.25">
      <c r="A62" s="2">
        <v>61</v>
      </c>
      <c r="B62" s="7" t="s">
        <v>57</v>
      </c>
      <c r="C62" s="7" t="s">
        <v>100</v>
      </c>
      <c r="D62" s="7">
        <v>30</v>
      </c>
      <c r="E62" s="7">
        <v>30</v>
      </c>
      <c r="F62" s="8">
        <v>1</v>
      </c>
      <c r="G62" s="8">
        <v>1</v>
      </c>
      <c r="H62" s="7">
        <v>1</v>
      </c>
      <c r="I62" s="7">
        <v>1</v>
      </c>
      <c r="J62" s="7" t="s">
        <v>77</v>
      </c>
      <c r="K62" s="7">
        <v>1</v>
      </c>
      <c r="L62" s="7" t="s">
        <v>38</v>
      </c>
      <c r="M62" s="7">
        <f t="shared" si="0"/>
        <v>0</v>
      </c>
      <c r="N62" s="9" t="s">
        <v>34</v>
      </c>
      <c r="O62" s="7">
        <v>2</v>
      </c>
      <c r="P62" s="9" t="s">
        <v>37</v>
      </c>
      <c r="Q62" s="7" t="s">
        <v>38</v>
      </c>
      <c r="R62" s="7" t="s">
        <v>38</v>
      </c>
      <c r="S62" s="10" t="s">
        <v>1529</v>
      </c>
      <c r="T62" s="7"/>
      <c r="U62" s="7"/>
      <c r="V62" s="7"/>
      <c r="W62" s="7"/>
      <c r="X62" s="7">
        <v>10</v>
      </c>
      <c r="Y62" s="7"/>
      <c r="Z62" s="7"/>
      <c r="AA62" s="7"/>
      <c r="AB62" s="7">
        <f t="shared" si="3"/>
        <v>3.3333333333333335</v>
      </c>
      <c r="AC62" s="7">
        <f t="shared" si="2"/>
        <v>0</v>
      </c>
      <c r="AD62" s="7">
        <v>1</v>
      </c>
      <c r="AE62" s="7"/>
      <c r="AF62" s="7" t="s">
        <v>40</v>
      </c>
      <c r="AG62" s="7" t="s">
        <v>112</v>
      </c>
      <c r="AH62" s="7"/>
      <c r="AI62" s="7"/>
      <c r="AJ62" s="7"/>
      <c r="AK62" s="7"/>
      <c r="AL62" s="9"/>
      <c r="AM62" s="7" t="s">
        <v>42</v>
      </c>
      <c r="AN62" s="7" t="s">
        <v>42</v>
      </c>
      <c r="AO62" s="10" t="s">
        <v>113</v>
      </c>
    </row>
    <row r="63" spans="1:41" s="11" customFormat="1" x14ac:dyDescent="0.25">
      <c r="A63" s="2">
        <v>62</v>
      </c>
      <c r="B63" s="7" t="s">
        <v>57</v>
      </c>
      <c r="C63" s="7" t="s">
        <v>78</v>
      </c>
      <c r="D63" s="7">
        <v>8</v>
      </c>
      <c r="E63" s="7">
        <v>8</v>
      </c>
      <c r="F63" s="8">
        <v>1</v>
      </c>
      <c r="G63" s="8">
        <v>1</v>
      </c>
      <c r="H63" s="7">
        <v>1</v>
      </c>
      <c r="I63" s="7">
        <v>1</v>
      </c>
      <c r="J63" s="7" t="s">
        <v>35</v>
      </c>
      <c r="K63" s="7">
        <v>1</v>
      </c>
      <c r="L63" s="7" t="s">
        <v>52</v>
      </c>
      <c r="M63" s="7">
        <f t="shared" si="0"/>
        <v>1</v>
      </c>
      <c r="N63" s="9" t="s">
        <v>34</v>
      </c>
      <c r="O63" s="7">
        <v>1</v>
      </c>
      <c r="P63" s="9" t="s">
        <v>34</v>
      </c>
      <c r="Q63" s="7" t="s">
        <v>38</v>
      </c>
      <c r="R63" s="7" t="s">
        <v>38</v>
      </c>
      <c r="S63" s="7"/>
      <c r="T63" s="7">
        <v>9</v>
      </c>
      <c r="U63" s="7">
        <v>9</v>
      </c>
      <c r="V63" s="7">
        <v>155</v>
      </c>
      <c r="W63" s="7" t="s">
        <v>114</v>
      </c>
      <c r="X63" s="7"/>
      <c r="Y63" s="7"/>
      <c r="Z63" s="7"/>
      <c r="AA63" s="7"/>
      <c r="AB63" s="7">
        <f t="shared" si="3"/>
        <v>3</v>
      </c>
      <c r="AC63" s="7">
        <f t="shared" si="2"/>
        <v>3</v>
      </c>
      <c r="AD63" s="7"/>
      <c r="AE63" s="7"/>
      <c r="AF63" s="7"/>
      <c r="AG63" s="7"/>
      <c r="AH63" s="7"/>
      <c r="AI63" s="7"/>
      <c r="AJ63" s="7"/>
      <c r="AK63" s="7"/>
      <c r="AL63" s="9"/>
      <c r="AM63" s="7" t="s">
        <v>71</v>
      </c>
      <c r="AN63" s="7" t="s">
        <v>71</v>
      </c>
      <c r="AO63" s="7"/>
    </row>
    <row r="64" spans="1:41" s="11" customFormat="1" x14ac:dyDescent="0.25">
      <c r="A64" s="2">
        <v>63</v>
      </c>
      <c r="B64" s="7" t="s">
        <v>57</v>
      </c>
      <c r="C64" s="7" t="s">
        <v>115</v>
      </c>
      <c r="D64" s="7" t="s">
        <v>116</v>
      </c>
      <c r="E64" s="7">
        <v>23</v>
      </c>
      <c r="F64" s="8">
        <v>2</v>
      </c>
      <c r="G64" s="8">
        <v>2</v>
      </c>
      <c r="H64" s="7" t="s">
        <v>87</v>
      </c>
      <c r="I64" s="7">
        <v>2</v>
      </c>
      <c r="J64" s="7" t="s">
        <v>77</v>
      </c>
      <c r="K64" s="7">
        <v>1</v>
      </c>
      <c r="L64" s="7" t="s">
        <v>38</v>
      </c>
      <c r="M64" s="7">
        <f t="shared" si="0"/>
        <v>0</v>
      </c>
      <c r="N64" s="9" t="s">
        <v>36</v>
      </c>
      <c r="O64" s="7">
        <v>0</v>
      </c>
      <c r="P64" s="9" t="s">
        <v>37</v>
      </c>
      <c r="Q64" s="7"/>
      <c r="R64" s="7" t="s">
        <v>38</v>
      </c>
      <c r="S64" s="7" t="s">
        <v>307</v>
      </c>
      <c r="T64" s="7"/>
      <c r="U64" s="7"/>
      <c r="V64" s="7"/>
      <c r="W64" s="7"/>
      <c r="X64" s="7"/>
      <c r="Y64" s="7"/>
      <c r="Z64" s="7"/>
      <c r="AA64" s="7"/>
      <c r="AB64" s="7">
        <v>0.33333333333333298</v>
      </c>
      <c r="AC64" s="7">
        <f t="shared" si="2"/>
        <v>0</v>
      </c>
      <c r="AD64" s="7"/>
      <c r="AE64" s="7"/>
      <c r="AF64" s="7" t="s">
        <v>40</v>
      </c>
      <c r="AG64" s="7" t="s">
        <v>117</v>
      </c>
      <c r="AH64" s="7"/>
      <c r="AI64" s="7"/>
      <c r="AJ64" s="7"/>
      <c r="AK64" s="7"/>
      <c r="AL64" s="9"/>
      <c r="AM64" s="7" t="s">
        <v>71</v>
      </c>
      <c r="AN64" s="7" t="s">
        <v>71</v>
      </c>
      <c r="AO64" s="7" t="s">
        <v>118</v>
      </c>
    </row>
    <row r="65" spans="1:41" s="11" customFormat="1" x14ac:dyDescent="0.25">
      <c r="A65" s="2">
        <v>64</v>
      </c>
      <c r="B65" s="7" t="s">
        <v>57</v>
      </c>
      <c r="C65" s="7" t="s">
        <v>119</v>
      </c>
      <c r="D65" s="7">
        <v>10</v>
      </c>
      <c r="E65" s="7">
        <v>10</v>
      </c>
      <c r="F65" s="8">
        <v>1</v>
      </c>
      <c r="G65" s="8">
        <v>1</v>
      </c>
      <c r="H65" s="7">
        <v>1</v>
      </c>
      <c r="I65" s="7">
        <v>1</v>
      </c>
      <c r="J65" s="7" t="s">
        <v>77</v>
      </c>
      <c r="K65" s="7">
        <v>1</v>
      </c>
      <c r="L65" s="7" t="s">
        <v>38</v>
      </c>
      <c r="M65" s="7">
        <f t="shared" si="0"/>
        <v>0</v>
      </c>
      <c r="N65" s="9" t="s">
        <v>34</v>
      </c>
      <c r="O65" s="7">
        <v>0</v>
      </c>
      <c r="P65" s="9" t="s">
        <v>37</v>
      </c>
      <c r="Q65" s="7"/>
      <c r="R65" s="7" t="s">
        <v>38</v>
      </c>
      <c r="S65" s="7" t="s">
        <v>307</v>
      </c>
      <c r="T65" s="7"/>
      <c r="U65" s="7"/>
      <c r="V65" s="7"/>
      <c r="W65" s="7"/>
      <c r="X65" s="7"/>
      <c r="Y65" s="7"/>
      <c r="Z65" s="7"/>
      <c r="AA65" s="7"/>
      <c r="AB65" s="7">
        <v>0.33333333333333298</v>
      </c>
      <c r="AC65" s="7">
        <f t="shared" si="2"/>
        <v>0</v>
      </c>
      <c r="AD65" s="7"/>
      <c r="AE65" s="7"/>
      <c r="AF65" s="7" t="s">
        <v>40</v>
      </c>
      <c r="AG65" s="7" t="s">
        <v>120</v>
      </c>
      <c r="AH65" s="7"/>
      <c r="AI65" s="7"/>
      <c r="AJ65" s="7"/>
      <c r="AK65" s="7"/>
      <c r="AL65" s="9"/>
      <c r="AM65" s="7" t="s">
        <v>71</v>
      </c>
      <c r="AN65" s="7" t="s">
        <v>71</v>
      </c>
      <c r="AO65" s="7"/>
    </row>
    <row r="66" spans="1:41" s="11" customFormat="1" x14ac:dyDescent="0.25">
      <c r="A66" s="2">
        <v>65</v>
      </c>
      <c r="B66" s="7" t="s">
        <v>57</v>
      </c>
      <c r="C66" s="7" t="s">
        <v>100</v>
      </c>
      <c r="D66" s="7">
        <v>6</v>
      </c>
      <c r="E66" s="7">
        <v>6</v>
      </c>
      <c r="F66" s="8">
        <v>1</v>
      </c>
      <c r="G66" s="8">
        <v>1</v>
      </c>
      <c r="H66" s="7">
        <v>1</v>
      </c>
      <c r="I66" s="7">
        <v>1</v>
      </c>
      <c r="J66" s="7" t="s">
        <v>35</v>
      </c>
      <c r="K66" s="7">
        <v>1</v>
      </c>
      <c r="L66" s="7" t="s">
        <v>52</v>
      </c>
      <c r="M66" s="7">
        <f t="shared" ref="M66:M129" si="4">IF(L66="n",F66,0)</f>
        <v>1</v>
      </c>
      <c r="N66" s="9" t="s">
        <v>36</v>
      </c>
      <c r="O66" s="7">
        <v>0</v>
      </c>
      <c r="P66" s="9" t="s">
        <v>37</v>
      </c>
      <c r="Q66" s="7" t="s">
        <v>38</v>
      </c>
      <c r="R66" s="7" t="s">
        <v>38</v>
      </c>
      <c r="S66" s="10" t="s">
        <v>1530</v>
      </c>
      <c r="T66" s="7"/>
      <c r="U66" s="7"/>
      <c r="V66" s="7"/>
      <c r="W66" s="7"/>
      <c r="X66" s="7">
        <v>3</v>
      </c>
      <c r="Y66" s="7"/>
      <c r="Z66" s="7"/>
      <c r="AA66" s="7"/>
      <c r="AB66" s="7">
        <f t="shared" ref="AB66:AB73" si="5">(U66+X66+Z66)/3</f>
        <v>1</v>
      </c>
      <c r="AC66" s="7">
        <f t="shared" ref="AC66:AC129" si="6">IF(L66="n",AB66,0)</f>
        <v>1</v>
      </c>
      <c r="AD66" s="7"/>
      <c r="AE66" s="7"/>
      <c r="AF66" s="7"/>
      <c r="AG66" s="7"/>
      <c r="AH66" s="7"/>
      <c r="AI66" s="7"/>
      <c r="AJ66" s="7"/>
      <c r="AK66" s="7"/>
      <c r="AL66" s="9"/>
      <c r="AM66" s="7" t="s">
        <v>71</v>
      </c>
      <c r="AN66" s="7" t="s">
        <v>71</v>
      </c>
      <c r="AO66" s="12"/>
    </row>
    <row r="67" spans="1:41" s="11" customFormat="1" x14ac:dyDescent="0.25">
      <c r="A67" s="2">
        <v>66</v>
      </c>
      <c r="B67" s="7" t="s">
        <v>57</v>
      </c>
      <c r="C67" s="7" t="s">
        <v>100</v>
      </c>
      <c r="D67" s="7">
        <v>11</v>
      </c>
      <c r="E67" s="7">
        <v>11</v>
      </c>
      <c r="F67" s="8">
        <v>1</v>
      </c>
      <c r="G67" s="8">
        <v>1</v>
      </c>
      <c r="H67" s="7">
        <v>1</v>
      </c>
      <c r="I67" s="7">
        <v>1</v>
      </c>
      <c r="J67" s="7" t="s">
        <v>35</v>
      </c>
      <c r="K67" s="7">
        <v>2</v>
      </c>
      <c r="L67" s="7" t="s">
        <v>52</v>
      </c>
      <c r="M67" s="7">
        <f t="shared" si="4"/>
        <v>1</v>
      </c>
      <c r="N67" s="9" t="s">
        <v>34</v>
      </c>
      <c r="O67" s="7">
        <v>0</v>
      </c>
      <c r="P67" s="9" t="s">
        <v>33</v>
      </c>
      <c r="Q67" s="7" t="s">
        <v>38</v>
      </c>
      <c r="R67" s="7" t="s">
        <v>38</v>
      </c>
      <c r="S67" s="10" t="s">
        <v>1518</v>
      </c>
      <c r="T67" s="7"/>
      <c r="U67" s="7"/>
      <c r="V67" s="7"/>
      <c r="W67" s="7"/>
      <c r="X67" s="7">
        <v>3</v>
      </c>
      <c r="Y67" s="7"/>
      <c r="Z67" s="7"/>
      <c r="AA67" s="7"/>
      <c r="AB67" s="7">
        <f t="shared" si="5"/>
        <v>1</v>
      </c>
      <c r="AC67" s="7">
        <f t="shared" si="6"/>
        <v>1</v>
      </c>
      <c r="AD67" s="7"/>
      <c r="AE67" s="7"/>
      <c r="AF67" s="7"/>
      <c r="AG67" s="7"/>
      <c r="AH67" s="7"/>
      <c r="AI67" s="7"/>
      <c r="AJ67" s="7"/>
      <c r="AK67" s="7"/>
      <c r="AL67" s="9"/>
      <c r="AM67" s="7" t="s">
        <v>71</v>
      </c>
      <c r="AN67" s="7" t="s">
        <v>71</v>
      </c>
      <c r="AO67" s="12"/>
    </row>
    <row r="68" spans="1:41" s="11" customFormat="1" x14ac:dyDescent="0.25">
      <c r="A68" s="2">
        <v>67</v>
      </c>
      <c r="B68" s="7" t="s">
        <v>57</v>
      </c>
      <c r="C68" s="7" t="s">
        <v>100</v>
      </c>
      <c r="D68" s="7">
        <v>2</v>
      </c>
      <c r="E68" s="7">
        <v>2</v>
      </c>
      <c r="F68" s="8">
        <v>1</v>
      </c>
      <c r="G68" s="8">
        <v>1</v>
      </c>
      <c r="H68" s="7">
        <v>1</v>
      </c>
      <c r="I68" s="7">
        <v>1</v>
      </c>
      <c r="J68" s="7" t="s">
        <v>70</v>
      </c>
      <c r="K68" s="7">
        <v>1</v>
      </c>
      <c r="L68" s="7" t="s">
        <v>52</v>
      </c>
      <c r="M68" s="7">
        <f t="shared" si="4"/>
        <v>1</v>
      </c>
      <c r="N68" s="9" t="s">
        <v>36</v>
      </c>
      <c r="O68" s="7">
        <v>0</v>
      </c>
      <c r="P68" s="9" t="s">
        <v>37</v>
      </c>
      <c r="Q68" s="7" t="s">
        <v>38</v>
      </c>
      <c r="R68" s="7" t="s">
        <v>38</v>
      </c>
      <c r="S68" s="7"/>
      <c r="T68" s="7"/>
      <c r="U68" s="7"/>
      <c r="V68" s="7"/>
      <c r="W68" s="7"/>
      <c r="X68" s="7">
        <v>3</v>
      </c>
      <c r="Y68" s="7"/>
      <c r="Z68" s="7"/>
      <c r="AA68" s="7"/>
      <c r="AB68" s="7">
        <f t="shared" si="5"/>
        <v>1</v>
      </c>
      <c r="AC68" s="7">
        <f t="shared" si="6"/>
        <v>1</v>
      </c>
      <c r="AD68" s="7"/>
      <c r="AE68" s="7"/>
      <c r="AF68" s="7"/>
      <c r="AG68" s="7"/>
      <c r="AH68" s="7"/>
      <c r="AI68" s="7"/>
      <c r="AJ68" s="7"/>
      <c r="AK68" s="7"/>
      <c r="AL68" s="9"/>
      <c r="AM68" s="7" t="s">
        <v>71</v>
      </c>
      <c r="AN68" s="7" t="s">
        <v>71</v>
      </c>
      <c r="AO68" s="12"/>
    </row>
    <row r="69" spans="1:41" s="11" customFormat="1" x14ac:dyDescent="0.25">
      <c r="A69" s="2">
        <v>68</v>
      </c>
      <c r="B69" s="7" t="s">
        <v>57</v>
      </c>
      <c r="C69" s="7" t="s">
        <v>89</v>
      </c>
      <c r="D69" s="7" t="s">
        <v>121</v>
      </c>
      <c r="E69" s="7">
        <f>8+10+6</f>
        <v>24</v>
      </c>
      <c r="F69" s="8">
        <v>7</v>
      </c>
      <c r="G69" s="8">
        <v>7</v>
      </c>
      <c r="H69" s="7" t="s">
        <v>122</v>
      </c>
      <c r="I69" s="7">
        <v>7</v>
      </c>
      <c r="J69" s="7" t="s">
        <v>70</v>
      </c>
      <c r="K69" s="7">
        <v>1</v>
      </c>
      <c r="L69" s="7" t="s">
        <v>52</v>
      </c>
      <c r="M69" s="7">
        <f t="shared" si="4"/>
        <v>7</v>
      </c>
      <c r="N69" s="9" t="s">
        <v>34</v>
      </c>
      <c r="O69" s="7">
        <v>0</v>
      </c>
      <c r="P69" s="9" t="s">
        <v>37</v>
      </c>
      <c r="Q69" s="7" t="s">
        <v>38</v>
      </c>
      <c r="R69" s="7" t="s">
        <v>38</v>
      </c>
      <c r="S69" s="7"/>
      <c r="T69" s="7"/>
      <c r="U69" s="7"/>
      <c r="V69" s="7"/>
      <c r="W69" s="7"/>
      <c r="X69" s="7">
        <v>3</v>
      </c>
      <c r="Y69" s="7"/>
      <c r="Z69" s="7"/>
      <c r="AA69" s="7"/>
      <c r="AB69" s="7">
        <f t="shared" si="5"/>
        <v>1</v>
      </c>
      <c r="AC69" s="7">
        <f t="shared" si="6"/>
        <v>1</v>
      </c>
      <c r="AD69" s="7"/>
      <c r="AE69" s="7"/>
      <c r="AF69" s="7"/>
      <c r="AG69" s="7"/>
      <c r="AH69" s="7"/>
      <c r="AI69" s="7"/>
      <c r="AJ69" s="7"/>
      <c r="AK69" s="7"/>
      <c r="AL69" s="9"/>
      <c r="AM69" s="7" t="s">
        <v>71</v>
      </c>
      <c r="AN69" s="7" t="s">
        <v>71</v>
      </c>
      <c r="AO69" s="12"/>
    </row>
    <row r="70" spans="1:41" s="11" customFormat="1" x14ac:dyDescent="0.25">
      <c r="A70" s="2">
        <v>69</v>
      </c>
      <c r="B70" s="7" t="s">
        <v>123</v>
      </c>
      <c r="C70" s="7" t="s">
        <v>89</v>
      </c>
      <c r="D70" s="7" t="s">
        <v>124</v>
      </c>
      <c r="E70" s="7">
        <v>4</v>
      </c>
      <c r="F70" s="8">
        <v>1</v>
      </c>
      <c r="G70" s="8">
        <v>2</v>
      </c>
      <c r="H70" s="7">
        <v>2</v>
      </c>
      <c r="I70" s="7">
        <v>2</v>
      </c>
      <c r="J70" s="7" t="s">
        <v>35</v>
      </c>
      <c r="K70" s="7">
        <v>2</v>
      </c>
      <c r="L70" s="7" t="s">
        <v>52</v>
      </c>
      <c r="M70" s="7">
        <f t="shared" si="4"/>
        <v>1</v>
      </c>
      <c r="N70" s="9" t="s">
        <v>36</v>
      </c>
      <c r="O70" s="7">
        <v>0</v>
      </c>
      <c r="P70" s="9" t="s">
        <v>36</v>
      </c>
      <c r="Q70" s="7" t="s">
        <v>38</v>
      </c>
      <c r="R70" s="7" t="s">
        <v>38</v>
      </c>
      <c r="S70" s="10" t="s">
        <v>1522</v>
      </c>
      <c r="T70" s="7"/>
      <c r="U70" s="7"/>
      <c r="V70" s="7"/>
      <c r="W70" s="7"/>
      <c r="X70" s="7">
        <v>3</v>
      </c>
      <c r="Y70" s="7"/>
      <c r="Z70" s="7"/>
      <c r="AA70" s="7"/>
      <c r="AB70" s="7">
        <f t="shared" si="5"/>
        <v>1</v>
      </c>
      <c r="AC70" s="7">
        <f t="shared" si="6"/>
        <v>1</v>
      </c>
      <c r="AD70" s="7"/>
      <c r="AE70" s="7"/>
      <c r="AF70" s="7"/>
      <c r="AG70" s="7"/>
      <c r="AH70" s="7"/>
      <c r="AI70" s="7"/>
      <c r="AJ70" s="7"/>
      <c r="AK70" s="7"/>
      <c r="AL70" s="9"/>
      <c r="AM70" s="7" t="s">
        <v>71</v>
      </c>
      <c r="AN70" s="7" t="s">
        <v>71</v>
      </c>
      <c r="AO70" s="12"/>
    </row>
    <row r="71" spans="1:41" s="11" customFormat="1" x14ac:dyDescent="0.25">
      <c r="A71" s="2">
        <v>70</v>
      </c>
      <c r="B71" s="7" t="s">
        <v>75</v>
      </c>
      <c r="C71" s="7" t="s">
        <v>100</v>
      </c>
      <c r="D71" s="7">
        <v>12</v>
      </c>
      <c r="E71" s="7">
        <v>12</v>
      </c>
      <c r="F71" s="8">
        <v>1</v>
      </c>
      <c r="G71" s="8">
        <v>1</v>
      </c>
      <c r="H71" s="7">
        <v>1</v>
      </c>
      <c r="I71" s="7">
        <v>1</v>
      </c>
      <c r="J71" s="7" t="s">
        <v>77</v>
      </c>
      <c r="K71" s="7">
        <v>1</v>
      </c>
      <c r="L71" s="7" t="s">
        <v>38</v>
      </c>
      <c r="M71" s="7">
        <f t="shared" si="4"/>
        <v>0</v>
      </c>
      <c r="N71" s="9" t="s">
        <v>34</v>
      </c>
      <c r="O71" s="7">
        <v>0</v>
      </c>
      <c r="P71" s="9" t="s">
        <v>33</v>
      </c>
      <c r="Q71" s="7" t="s">
        <v>38</v>
      </c>
      <c r="R71" s="7" t="s">
        <v>38</v>
      </c>
      <c r="S71" s="7"/>
      <c r="T71" s="7"/>
      <c r="U71" s="7"/>
      <c r="V71" s="7"/>
      <c r="W71" s="7"/>
      <c r="X71" s="7">
        <v>5</v>
      </c>
      <c r="Y71" s="7"/>
      <c r="Z71" s="7"/>
      <c r="AA71" s="7"/>
      <c r="AB71" s="7">
        <f t="shared" si="5"/>
        <v>1.6666666666666667</v>
      </c>
      <c r="AC71" s="7">
        <f t="shared" si="6"/>
        <v>0</v>
      </c>
      <c r="AD71" s="7"/>
      <c r="AE71" s="7">
        <v>2</v>
      </c>
      <c r="AF71" s="7" t="s">
        <v>40</v>
      </c>
      <c r="AG71" s="7"/>
      <c r="AH71" s="7"/>
      <c r="AI71" s="7"/>
      <c r="AJ71" s="7"/>
      <c r="AK71" s="7"/>
      <c r="AL71" s="9"/>
      <c r="AM71" s="7" t="s">
        <v>42</v>
      </c>
      <c r="AN71" s="7" t="s">
        <v>42</v>
      </c>
      <c r="AO71" s="7" t="s">
        <v>113</v>
      </c>
    </row>
    <row r="72" spans="1:41" s="11" customFormat="1" x14ac:dyDescent="0.25">
      <c r="A72" s="2">
        <v>71</v>
      </c>
      <c r="B72" s="7" t="s">
        <v>75</v>
      </c>
      <c r="C72" s="7" t="s">
        <v>78</v>
      </c>
      <c r="D72" s="7">
        <v>11</v>
      </c>
      <c r="E72" s="7">
        <v>11</v>
      </c>
      <c r="F72" s="8">
        <v>1</v>
      </c>
      <c r="G72" s="8">
        <v>1</v>
      </c>
      <c r="H72" s="7">
        <v>1</v>
      </c>
      <c r="I72" s="7">
        <v>1</v>
      </c>
      <c r="J72" s="7" t="s">
        <v>77</v>
      </c>
      <c r="K72" s="7">
        <v>1</v>
      </c>
      <c r="L72" s="7" t="s">
        <v>52</v>
      </c>
      <c r="M72" s="7">
        <f t="shared" si="4"/>
        <v>1</v>
      </c>
      <c r="N72" s="9" t="s">
        <v>36</v>
      </c>
      <c r="O72" s="7">
        <v>0</v>
      </c>
      <c r="P72" s="9" t="s">
        <v>33</v>
      </c>
      <c r="Q72" s="7" t="s">
        <v>38</v>
      </c>
      <c r="R72" s="7" t="s">
        <v>38</v>
      </c>
      <c r="S72" s="10" t="s">
        <v>1531</v>
      </c>
      <c r="T72" s="7">
        <v>19</v>
      </c>
      <c r="U72" s="7">
        <v>19</v>
      </c>
      <c r="V72" s="7">
        <v>85</v>
      </c>
      <c r="W72" s="7" t="s">
        <v>88</v>
      </c>
      <c r="X72" s="7"/>
      <c r="Y72" s="7"/>
      <c r="Z72" s="7"/>
      <c r="AA72" s="7"/>
      <c r="AB72" s="7">
        <f t="shared" si="5"/>
        <v>6.333333333333333</v>
      </c>
      <c r="AC72" s="7">
        <f t="shared" si="6"/>
        <v>6.333333333333333</v>
      </c>
      <c r="AD72" s="7"/>
      <c r="AE72" s="7"/>
      <c r="AF72" s="7"/>
      <c r="AG72" s="7"/>
      <c r="AH72" s="7"/>
      <c r="AI72" s="7"/>
      <c r="AJ72" s="7"/>
      <c r="AK72" s="7"/>
      <c r="AL72" s="9"/>
      <c r="AM72" s="7" t="s">
        <v>42</v>
      </c>
      <c r="AN72" s="7" t="s">
        <v>42</v>
      </c>
      <c r="AO72" s="7"/>
    </row>
    <row r="73" spans="1:41" s="11" customFormat="1" x14ac:dyDescent="0.25">
      <c r="A73" s="2">
        <v>72</v>
      </c>
      <c r="B73" s="7" t="s">
        <v>75</v>
      </c>
      <c r="C73" s="7" t="s">
        <v>78</v>
      </c>
      <c r="D73" s="7">
        <v>2</v>
      </c>
      <c r="E73" s="7">
        <v>2</v>
      </c>
      <c r="F73" s="8">
        <v>1</v>
      </c>
      <c r="G73" s="8">
        <v>1</v>
      </c>
      <c r="H73" s="7">
        <v>1</v>
      </c>
      <c r="I73" s="7">
        <v>1</v>
      </c>
      <c r="J73" s="7" t="s">
        <v>77</v>
      </c>
      <c r="K73" s="7"/>
      <c r="L73" s="7" t="s">
        <v>38</v>
      </c>
      <c r="M73" s="7">
        <f t="shared" si="4"/>
        <v>0</v>
      </c>
      <c r="N73" s="9" t="s">
        <v>125</v>
      </c>
      <c r="O73" s="7">
        <v>0</v>
      </c>
      <c r="P73" s="9" t="s">
        <v>63</v>
      </c>
      <c r="Q73" s="7" t="s">
        <v>38</v>
      </c>
      <c r="R73" s="7" t="s">
        <v>38</v>
      </c>
      <c r="S73" s="7"/>
      <c r="T73" s="7">
        <v>10</v>
      </c>
      <c r="U73" s="7">
        <v>10</v>
      </c>
      <c r="V73" s="7">
        <v>90</v>
      </c>
      <c r="W73" s="7" t="s">
        <v>88</v>
      </c>
      <c r="X73" s="7"/>
      <c r="Y73" s="7"/>
      <c r="Z73" s="7"/>
      <c r="AA73" s="7"/>
      <c r="AB73" s="7">
        <f t="shared" si="5"/>
        <v>3.3333333333333335</v>
      </c>
      <c r="AC73" s="7">
        <f t="shared" si="6"/>
        <v>0</v>
      </c>
      <c r="AD73" s="7"/>
      <c r="AE73" s="7"/>
      <c r="AF73" s="7"/>
      <c r="AG73" s="7"/>
      <c r="AH73" s="7"/>
      <c r="AI73" s="7"/>
      <c r="AJ73" s="7"/>
      <c r="AK73" s="7"/>
      <c r="AL73" s="9"/>
      <c r="AM73" s="7" t="s">
        <v>42</v>
      </c>
      <c r="AN73" s="7" t="s">
        <v>42</v>
      </c>
      <c r="AO73" s="10" t="s">
        <v>2518</v>
      </c>
    </row>
    <row r="74" spans="1:41" s="11" customFormat="1" x14ac:dyDescent="0.25">
      <c r="A74" s="2">
        <v>73</v>
      </c>
      <c r="B74" s="7" t="s">
        <v>75</v>
      </c>
      <c r="C74" s="7" t="s">
        <v>115</v>
      </c>
      <c r="D74" s="7" t="s">
        <v>126</v>
      </c>
      <c r="E74" s="7">
        <v>13</v>
      </c>
      <c r="F74" s="8">
        <v>2</v>
      </c>
      <c r="G74" s="8">
        <v>2</v>
      </c>
      <c r="H74" s="7" t="s">
        <v>87</v>
      </c>
      <c r="I74" s="7">
        <v>2</v>
      </c>
      <c r="J74" s="7" t="s">
        <v>77</v>
      </c>
      <c r="K74" s="7">
        <v>1</v>
      </c>
      <c r="L74" s="7" t="s">
        <v>38</v>
      </c>
      <c r="M74" s="7">
        <f t="shared" si="4"/>
        <v>0</v>
      </c>
      <c r="N74" s="9" t="s">
        <v>34</v>
      </c>
      <c r="O74" s="7">
        <v>0</v>
      </c>
      <c r="P74" s="9" t="s">
        <v>37</v>
      </c>
      <c r="Q74" s="7"/>
      <c r="R74" s="7" t="s">
        <v>38</v>
      </c>
      <c r="S74" s="10" t="s">
        <v>1532</v>
      </c>
      <c r="T74" s="7"/>
      <c r="U74" s="7"/>
      <c r="V74" s="7"/>
      <c r="W74" s="7"/>
      <c r="X74" s="7"/>
      <c r="Y74" s="7"/>
      <c r="Z74" s="7"/>
      <c r="AA74" s="7"/>
      <c r="AB74" s="7">
        <v>0.33333333333333298</v>
      </c>
      <c r="AC74" s="7">
        <f t="shared" si="6"/>
        <v>0</v>
      </c>
      <c r="AD74" s="7">
        <v>2</v>
      </c>
      <c r="AE74" s="7"/>
      <c r="AF74" s="7" t="s">
        <v>40</v>
      </c>
      <c r="AG74" s="7" t="s">
        <v>127</v>
      </c>
      <c r="AH74" s="7"/>
      <c r="AI74" s="7"/>
      <c r="AJ74" s="7"/>
      <c r="AK74" s="7"/>
      <c r="AL74" s="9"/>
      <c r="AM74" s="7" t="s">
        <v>71</v>
      </c>
      <c r="AN74" s="7" t="s">
        <v>71</v>
      </c>
      <c r="AO74" s="7" t="s">
        <v>118</v>
      </c>
    </row>
    <row r="75" spans="1:41" s="11" customFormat="1" ht="24" x14ac:dyDescent="0.25">
      <c r="A75" s="2">
        <v>74</v>
      </c>
      <c r="B75" s="7" t="s">
        <v>75</v>
      </c>
      <c r="C75" s="7" t="s">
        <v>100</v>
      </c>
      <c r="D75" s="7">
        <v>37</v>
      </c>
      <c r="E75" s="7">
        <v>37</v>
      </c>
      <c r="F75" s="8">
        <v>1</v>
      </c>
      <c r="G75" s="8">
        <v>1</v>
      </c>
      <c r="H75" s="7">
        <v>1</v>
      </c>
      <c r="I75" s="7">
        <v>1</v>
      </c>
      <c r="J75" s="7" t="s">
        <v>70</v>
      </c>
      <c r="K75" s="7">
        <v>2</v>
      </c>
      <c r="L75" s="7" t="s">
        <v>52</v>
      </c>
      <c r="M75" s="7">
        <f t="shared" si="4"/>
        <v>1</v>
      </c>
      <c r="N75" s="9" t="s">
        <v>82</v>
      </c>
      <c r="O75" s="7">
        <v>0</v>
      </c>
      <c r="P75" s="9" t="s">
        <v>34</v>
      </c>
      <c r="Q75" s="7" t="s">
        <v>38</v>
      </c>
      <c r="R75" s="7" t="s">
        <v>38</v>
      </c>
      <c r="S75" s="10" t="s">
        <v>1533</v>
      </c>
      <c r="T75" s="7"/>
      <c r="U75" s="7"/>
      <c r="V75" s="7"/>
      <c r="W75" s="7"/>
      <c r="X75" s="7">
        <v>3</v>
      </c>
      <c r="Y75" s="7"/>
      <c r="Z75" s="7"/>
      <c r="AA75" s="7"/>
      <c r="AB75" s="7">
        <f t="shared" ref="AB75:AB84" si="7">(U75+X75+Z75)/3</f>
        <v>1</v>
      </c>
      <c r="AC75" s="7">
        <f t="shared" si="6"/>
        <v>1</v>
      </c>
      <c r="AD75" s="7"/>
      <c r="AE75" s="7"/>
      <c r="AF75" s="7"/>
      <c r="AG75" s="7"/>
      <c r="AH75" s="7"/>
      <c r="AI75" s="7"/>
      <c r="AJ75" s="7"/>
      <c r="AK75" s="7"/>
      <c r="AL75" s="9"/>
      <c r="AM75" s="7" t="s">
        <v>71</v>
      </c>
      <c r="AN75" s="7" t="s">
        <v>71</v>
      </c>
      <c r="AO75" s="7"/>
    </row>
    <row r="76" spans="1:41" s="11" customFormat="1" x14ac:dyDescent="0.25">
      <c r="A76" s="2">
        <v>75</v>
      </c>
      <c r="B76" s="7" t="s">
        <v>75</v>
      </c>
      <c r="C76" s="7" t="s">
        <v>89</v>
      </c>
      <c r="D76" s="7" t="s">
        <v>128</v>
      </c>
      <c r="E76" s="7">
        <v>41</v>
      </c>
      <c r="F76" s="8">
        <v>3</v>
      </c>
      <c r="G76" s="8">
        <v>3</v>
      </c>
      <c r="H76" s="7" t="s">
        <v>97</v>
      </c>
      <c r="I76" s="7">
        <v>3</v>
      </c>
      <c r="J76" s="7" t="s">
        <v>35</v>
      </c>
      <c r="K76" s="7">
        <v>2</v>
      </c>
      <c r="L76" s="7" t="s">
        <v>52</v>
      </c>
      <c r="M76" s="7">
        <f t="shared" si="4"/>
        <v>3</v>
      </c>
      <c r="N76" s="9" t="s">
        <v>34</v>
      </c>
      <c r="O76" s="7">
        <v>0</v>
      </c>
      <c r="P76" s="9" t="s">
        <v>33</v>
      </c>
      <c r="Q76" s="7" t="s">
        <v>38</v>
      </c>
      <c r="R76" s="7" t="s">
        <v>38</v>
      </c>
      <c r="S76" s="10" t="s">
        <v>1534</v>
      </c>
      <c r="T76" s="7"/>
      <c r="U76" s="7"/>
      <c r="V76" s="7"/>
      <c r="W76" s="7"/>
      <c r="X76" s="7">
        <v>3</v>
      </c>
      <c r="Y76" s="7"/>
      <c r="Z76" s="7"/>
      <c r="AA76" s="7"/>
      <c r="AB76" s="7">
        <f t="shared" si="7"/>
        <v>1</v>
      </c>
      <c r="AC76" s="7">
        <f t="shared" si="6"/>
        <v>1</v>
      </c>
      <c r="AD76" s="7"/>
      <c r="AE76" s="7"/>
      <c r="AF76" s="7"/>
      <c r="AG76" s="7"/>
      <c r="AH76" s="7"/>
      <c r="AI76" s="7"/>
      <c r="AJ76" s="7"/>
      <c r="AK76" s="7"/>
      <c r="AL76" s="9"/>
      <c r="AM76" s="7" t="s">
        <v>71</v>
      </c>
      <c r="AN76" s="7" t="s">
        <v>71</v>
      </c>
      <c r="AO76" s="12"/>
    </row>
    <row r="77" spans="1:41" s="11" customFormat="1" x14ac:dyDescent="0.25">
      <c r="A77" s="2">
        <v>76</v>
      </c>
      <c r="B77" s="7" t="s">
        <v>74</v>
      </c>
      <c r="C77" s="7" t="s">
        <v>100</v>
      </c>
      <c r="D77" s="7">
        <v>4</v>
      </c>
      <c r="E77" s="7">
        <v>4</v>
      </c>
      <c r="F77" s="8">
        <v>1</v>
      </c>
      <c r="G77" s="8">
        <v>1</v>
      </c>
      <c r="H77" s="7">
        <v>1</v>
      </c>
      <c r="I77" s="7">
        <v>1</v>
      </c>
      <c r="J77" s="7" t="s">
        <v>35</v>
      </c>
      <c r="K77" s="7">
        <v>2</v>
      </c>
      <c r="L77" s="7" t="s">
        <v>52</v>
      </c>
      <c r="M77" s="7">
        <f t="shared" si="4"/>
        <v>1</v>
      </c>
      <c r="N77" s="9" t="s">
        <v>34</v>
      </c>
      <c r="O77" s="7">
        <v>0</v>
      </c>
      <c r="P77" s="9" t="s">
        <v>33</v>
      </c>
      <c r="Q77" s="7" t="s">
        <v>38</v>
      </c>
      <c r="R77" s="7" t="s">
        <v>38</v>
      </c>
      <c r="S77" s="10" t="s">
        <v>1535</v>
      </c>
      <c r="T77" s="7"/>
      <c r="U77" s="7"/>
      <c r="V77" s="7"/>
      <c r="W77" s="7"/>
      <c r="X77" s="7">
        <v>3</v>
      </c>
      <c r="Y77" s="7"/>
      <c r="Z77" s="7"/>
      <c r="AA77" s="7"/>
      <c r="AB77" s="7">
        <f t="shared" si="7"/>
        <v>1</v>
      </c>
      <c r="AC77" s="7">
        <f t="shared" si="6"/>
        <v>1</v>
      </c>
      <c r="AD77" s="7"/>
      <c r="AE77" s="7"/>
      <c r="AF77" s="7"/>
      <c r="AG77" s="7"/>
      <c r="AH77" s="7"/>
      <c r="AI77" s="7"/>
      <c r="AJ77" s="7"/>
      <c r="AK77" s="7"/>
      <c r="AL77" s="9"/>
      <c r="AM77" s="7" t="s">
        <v>71</v>
      </c>
      <c r="AN77" s="7" t="s">
        <v>71</v>
      </c>
      <c r="AO77" s="12"/>
    </row>
    <row r="78" spans="1:41" s="11" customFormat="1" x14ac:dyDescent="0.25">
      <c r="A78" s="2">
        <v>77</v>
      </c>
      <c r="B78" s="7" t="s">
        <v>74</v>
      </c>
      <c r="C78" s="7" t="s">
        <v>89</v>
      </c>
      <c r="D78" s="7" t="s">
        <v>129</v>
      </c>
      <c r="E78" s="7">
        <v>11</v>
      </c>
      <c r="F78" s="8">
        <v>2</v>
      </c>
      <c r="G78" s="8">
        <v>3</v>
      </c>
      <c r="H78" s="7" t="s">
        <v>97</v>
      </c>
      <c r="I78" s="7">
        <v>3</v>
      </c>
      <c r="J78" s="7" t="s">
        <v>35</v>
      </c>
      <c r="K78" s="7">
        <v>2</v>
      </c>
      <c r="L78" s="7" t="s">
        <v>52</v>
      </c>
      <c r="M78" s="7">
        <f t="shared" si="4"/>
        <v>2</v>
      </c>
      <c r="N78" s="9" t="s">
        <v>34</v>
      </c>
      <c r="O78" s="7">
        <v>0</v>
      </c>
      <c r="P78" s="9" t="s">
        <v>37</v>
      </c>
      <c r="Q78" s="7" t="s">
        <v>52</v>
      </c>
      <c r="R78" s="7" t="s">
        <v>38</v>
      </c>
      <c r="S78" s="10" t="s">
        <v>1536</v>
      </c>
      <c r="T78" s="7"/>
      <c r="U78" s="7"/>
      <c r="V78" s="7"/>
      <c r="W78" s="7"/>
      <c r="X78" s="7">
        <v>3</v>
      </c>
      <c r="Y78" s="7"/>
      <c r="Z78" s="7"/>
      <c r="AA78" s="7"/>
      <c r="AB78" s="7">
        <f t="shared" si="7"/>
        <v>1</v>
      </c>
      <c r="AC78" s="7">
        <f t="shared" si="6"/>
        <v>1</v>
      </c>
      <c r="AD78" s="7"/>
      <c r="AE78" s="7"/>
      <c r="AF78" s="7"/>
      <c r="AG78" s="7"/>
      <c r="AH78" s="7"/>
      <c r="AI78" s="7"/>
      <c r="AJ78" s="7"/>
      <c r="AK78" s="7"/>
      <c r="AL78" s="9"/>
      <c r="AM78" s="7" t="s">
        <v>71</v>
      </c>
      <c r="AN78" s="7" t="s">
        <v>71</v>
      </c>
      <c r="AO78" s="12"/>
    </row>
    <row r="79" spans="1:41" s="11" customFormat="1" x14ac:dyDescent="0.25">
      <c r="A79" s="2">
        <v>78</v>
      </c>
      <c r="B79" s="7" t="s">
        <v>74</v>
      </c>
      <c r="C79" s="7" t="s">
        <v>89</v>
      </c>
      <c r="D79" s="7" t="s">
        <v>130</v>
      </c>
      <c r="E79" s="7">
        <v>9</v>
      </c>
      <c r="F79" s="8">
        <v>1</v>
      </c>
      <c r="G79" s="8">
        <v>2</v>
      </c>
      <c r="H79" s="7" t="s">
        <v>87</v>
      </c>
      <c r="I79" s="7">
        <v>2</v>
      </c>
      <c r="J79" s="7" t="s">
        <v>77</v>
      </c>
      <c r="K79" s="7">
        <v>1</v>
      </c>
      <c r="L79" s="7" t="s">
        <v>38</v>
      </c>
      <c r="M79" s="7">
        <f t="shared" si="4"/>
        <v>0</v>
      </c>
      <c r="N79" s="9" t="s">
        <v>34</v>
      </c>
      <c r="O79" s="7">
        <v>0</v>
      </c>
      <c r="P79" s="9" t="s">
        <v>36</v>
      </c>
      <c r="Q79" s="7" t="s">
        <v>38</v>
      </c>
      <c r="R79" s="7" t="s">
        <v>38</v>
      </c>
      <c r="S79" s="10" t="s">
        <v>1537</v>
      </c>
      <c r="T79" s="7"/>
      <c r="U79" s="7"/>
      <c r="V79" s="7"/>
      <c r="W79" s="7"/>
      <c r="X79" s="7">
        <v>3</v>
      </c>
      <c r="Y79" s="7"/>
      <c r="Z79" s="7"/>
      <c r="AA79" s="7"/>
      <c r="AB79" s="7">
        <f t="shared" si="7"/>
        <v>1</v>
      </c>
      <c r="AC79" s="7">
        <f t="shared" si="6"/>
        <v>0</v>
      </c>
      <c r="AD79" s="7"/>
      <c r="AE79" s="7" t="s">
        <v>55</v>
      </c>
      <c r="AF79" s="7"/>
      <c r="AG79" s="7" t="s">
        <v>131</v>
      </c>
      <c r="AH79" s="7"/>
      <c r="AI79" s="7"/>
      <c r="AJ79" s="7"/>
      <c r="AK79" s="7"/>
      <c r="AL79" s="9"/>
      <c r="AM79" s="7" t="s">
        <v>71</v>
      </c>
      <c r="AN79" s="7" t="s">
        <v>71</v>
      </c>
      <c r="AO79" s="12"/>
    </row>
    <row r="80" spans="1:41" s="11" customFormat="1" x14ac:dyDescent="0.25">
      <c r="A80" s="2">
        <v>79</v>
      </c>
      <c r="B80" s="7" t="s">
        <v>74</v>
      </c>
      <c r="C80" s="7" t="s">
        <v>89</v>
      </c>
      <c r="D80" s="7" t="s">
        <v>132</v>
      </c>
      <c r="E80" s="7">
        <v>18</v>
      </c>
      <c r="F80" s="8">
        <v>2</v>
      </c>
      <c r="G80" s="8">
        <v>2</v>
      </c>
      <c r="H80" s="7" t="s">
        <v>87</v>
      </c>
      <c r="I80" s="7">
        <v>2</v>
      </c>
      <c r="J80" s="7" t="s">
        <v>35</v>
      </c>
      <c r="K80" s="7">
        <v>2</v>
      </c>
      <c r="L80" s="7" t="s">
        <v>52</v>
      </c>
      <c r="M80" s="7">
        <f t="shared" si="4"/>
        <v>2</v>
      </c>
      <c r="N80" s="9" t="s">
        <v>36</v>
      </c>
      <c r="O80" s="7">
        <v>0</v>
      </c>
      <c r="P80" s="9" t="s">
        <v>37</v>
      </c>
      <c r="Q80" s="7" t="s">
        <v>38</v>
      </c>
      <c r="R80" s="7" t="s">
        <v>38</v>
      </c>
      <c r="S80" s="10" t="s">
        <v>1538</v>
      </c>
      <c r="T80" s="7"/>
      <c r="U80" s="7"/>
      <c r="V80" s="7"/>
      <c r="W80" s="7"/>
      <c r="X80" s="7">
        <v>3</v>
      </c>
      <c r="Y80" s="7"/>
      <c r="Z80" s="7"/>
      <c r="AA80" s="7"/>
      <c r="AB80" s="7">
        <f t="shared" si="7"/>
        <v>1</v>
      </c>
      <c r="AC80" s="7">
        <f t="shared" si="6"/>
        <v>1</v>
      </c>
      <c r="AD80" s="7"/>
      <c r="AE80" s="7"/>
      <c r="AF80" s="7"/>
      <c r="AG80" s="7"/>
      <c r="AH80" s="7"/>
      <c r="AI80" s="7"/>
      <c r="AJ80" s="7"/>
      <c r="AK80" s="7"/>
      <c r="AL80" s="9"/>
      <c r="AM80" s="7" t="s">
        <v>71</v>
      </c>
      <c r="AN80" s="7" t="s">
        <v>71</v>
      </c>
      <c r="AO80" s="12"/>
    </row>
    <row r="81" spans="1:41" s="11" customFormat="1" x14ac:dyDescent="0.25">
      <c r="A81" s="2">
        <v>80</v>
      </c>
      <c r="B81" s="7" t="s">
        <v>69</v>
      </c>
      <c r="C81" s="7" t="s">
        <v>78</v>
      </c>
      <c r="D81" s="7">
        <v>2</v>
      </c>
      <c r="E81" s="7">
        <v>2</v>
      </c>
      <c r="F81" s="8">
        <v>1</v>
      </c>
      <c r="G81" s="8">
        <v>1</v>
      </c>
      <c r="H81" s="7">
        <v>1</v>
      </c>
      <c r="I81" s="7">
        <v>1</v>
      </c>
      <c r="J81" s="7" t="s">
        <v>77</v>
      </c>
      <c r="K81" s="7">
        <v>1</v>
      </c>
      <c r="L81" s="7" t="s">
        <v>38</v>
      </c>
      <c r="M81" s="7">
        <f t="shared" si="4"/>
        <v>0</v>
      </c>
      <c r="N81" s="9" t="s">
        <v>34</v>
      </c>
      <c r="O81" s="7">
        <v>0</v>
      </c>
      <c r="P81" s="9" t="s">
        <v>33</v>
      </c>
      <c r="Q81" s="7" t="s">
        <v>38</v>
      </c>
      <c r="R81" s="7" t="s">
        <v>38</v>
      </c>
      <c r="S81" s="10" t="s">
        <v>1539</v>
      </c>
      <c r="T81" s="7">
        <v>5</v>
      </c>
      <c r="U81" s="7">
        <v>5</v>
      </c>
      <c r="V81" s="7">
        <v>90</v>
      </c>
      <c r="W81" s="7" t="s">
        <v>88</v>
      </c>
      <c r="X81" s="7"/>
      <c r="Y81" s="7"/>
      <c r="Z81" s="7"/>
      <c r="AA81" s="7"/>
      <c r="AB81" s="7">
        <f t="shared" si="7"/>
        <v>1.6666666666666667</v>
      </c>
      <c r="AC81" s="7">
        <f t="shared" si="6"/>
        <v>0</v>
      </c>
      <c r="AD81" s="7"/>
      <c r="AE81" s="7"/>
      <c r="AF81" s="7"/>
      <c r="AG81" s="7"/>
      <c r="AH81" s="7"/>
      <c r="AI81" s="7"/>
      <c r="AJ81" s="7"/>
      <c r="AK81" s="7"/>
      <c r="AL81" s="9"/>
      <c r="AM81" s="7" t="s">
        <v>42</v>
      </c>
      <c r="AN81" s="7" t="s">
        <v>42</v>
      </c>
      <c r="AO81" s="10" t="s">
        <v>2517</v>
      </c>
    </row>
    <row r="82" spans="1:41" s="11" customFormat="1" x14ac:dyDescent="0.25">
      <c r="A82" s="2">
        <v>81</v>
      </c>
      <c r="B82" s="7" t="s">
        <v>69</v>
      </c>
      <c r="C82" s="7" t="s">
        <v>78</v>
      </c>
      <c r="D82" s="7">
        <v>5</v>
      </c>
      <c r="E82" s="7">
        <v>5</v>
      </c>
      <c r="F82" s="8">
        <v>1</v>
      </c>
      <c r="G82" s="8">
        <v>1</v>
      </c>
      <c r="H82" s="7">
        <v>1</v>
      </c>
      <c r="I82" s="7">
        <v>1</v>
      </c>
      <c r="J82" s="7" t="s">
        <v>77</v>
      </c>
      <c r="K82" s="7">
        <v>1</v>
      </c>
      <c r="L82" s="7" t="s">
        <v>38</v>
      </c>
      <c r="M82" s="7">
        <f t="shared" si="4"/>
        <v>0</v>
      </c>
      <c r="N82" s="9" t="s">
        <v>36</v>
      </c>
      <c r="O82" s="7">
        <v>0</v>
      </c>
      <c r="P82" s="9" t="s">
        <v>37</v>
      </c>
      <c r="Q82" s="7" t="s">
        <v>38</v>
      </c>
      <c r="R82" s="7" t="s">
        <v>38</v>
      </c>
      <c r="S82" s="7"/>
      <c r="T82" s="7">
        <v>8</v>
      </c>
      <c r="U82" s="7">
        <v>8</v>
      </c>
      <c r="V82" s="7">
        <v>120</v>
      </c>
      <c r="W82" s="7" t="s">
        <v>88</v>
      </c>
      <c r="X82" s="7"/>
      <c r="Y82" s="7"/>
      <c r="Z82" s="7"/>
      <c r="AA82" s="7"/>
      <c r="AB82" s="7">
        <f t="shared" si="7"/>
        <v>2.6666666666666665</v>
      </c>
      <c r="AC82" s="7">
        <f t="shared" si="6"/>
        <v>0</v>
      </c>
      <c r="AD82" s="7"/>
      <c r="AE82" s="7"/>
      <c r="AF82" s="7"/>
      <c r="AG82" s="7"/>
      <c r="AH82" s="7"/>
      <c r="AI82" s="7"/>
      <c r="AJ82" s="7"/>
      <c r="AK82" s="7"/>
      <c r="AL82" s="9"/>
      <c r="AM82" s="7" t="s">
        <v>42</v>
      </c>
      <c r="AN82" s="7" t="s">
        <v>42</v>
      </c>
      <c r="AO82" s="10" t="s">
        <v>2517</v>
      </c>
    </row>
    <row r="83" spans="1:41" s="11" customFormat="1" x14ac:dyDescent="0.25">
      <c r="A83" s="2">
        <v>82</v>
      </c>
      <c r="B83" s="7" t="s">
        <v>69</v>
      </c>
      <c r="C83" s="7" t="s">
        <v>100</v>
      </c>
      <c r="D83" s="7">
        <v>10</v>
      </c>
      <c r="E83" s="7">
        <v>10</v>
      </c>
      <c r="F83" s="8">
        <v>1</v>
      </c>
      <c r="G83" s="8">
        <v>1</v>
      </c>
      <c r="H83" s="7">
        <v>1</v>
      </c>
      <c r="I83" s="7">
        <v>1</v>
      </c>
      <c r="J83" s="7" t="s">
        <v>35</v>
      </c>
      <c r="K83" s="7">
        <v>2</v>
      </c>
      <c r="L83" s="7" t="s">
        <v>52</v>
      </c>
      <c r="M83" s="7">
        <f t="shared" si="4"/>
        <v>1</v>
      </c>
      <c r="N83" s="9" t="s">
        <v>34</v>
      </c>
      <c r="O83" s="7">
        <v>2</v>
      </c>
      <c r="P83" s="9" t="s">
        <v>63</v>
      </c>
      <c r="Q83" s="7" t="s">
        <v>38</v>
      </c>
      <c r="R83" s="7" t="s">
        <v>38</v>
      </c>
      <c r="S83" s="7"/>
      <c r="T83" s="7"/>
      <c r="U83" s="7"/>
      <c r="V83" s="7"/>
      <c r="W83" s="7"/>
      <c r="X83" s="7">
        <v>3</v>
      </c>
      <c r="Y83" s="7"/>
      <c r="Z83" s="7"/>
      <c r="AA83" s="7"/>
      <c r="AB83" s="7">
        <f t="shared" si="7"/>
        <v>1</v>
      </c>
      <c r="AC83" s="7">
        <f t="shared" si="6"/>
        <v>1</v>
      </c>
      <c r="AD83" s="7"/>
      <c r="AE83" s="7"/>
      <c r="AF83" s="7"/>
      <c r="AG83" s="7"/>
      <c r="AH83" s="7"/>
      <c r="AI83" s="7"/>
      <c r="AJ83" s="7"/>
      <c r="AK83" s="10" t="s">
        <v>2430</v>
      </c>
      <c r="AL83" s="9"/>
      <c r="AM83" s="7" t="s">
        <v>71</v>
      </c>
      <c r="AN83" s="7" t="s">
        <v>71</v>
      </c>
      <c r="AO83" s="7"/>
    </row>
    <row r="84" spans="1:41" s="11" customFormat="1" x14ac:dyDescent="0.25">
      <c r="A84" s="2">
        <v>83</v>
      </c>
      <c r="B84" s="7" t="s">
        <v>69</v>
      </c>
      <c r="C84" s="7" t="s">
        <v>100</v>
      </c>
      <c r="D84" s="7">
        <v>13</v>
      </c>
      <c r="E84" s="7">
        <v>13</v>
      </c>
      <c r="F84" s="8">
        <v>1</v>
      </c>
      <c r="G84" s="8">
        <v>1</v>
      </c>
      <c r="H84" s="7">
        <v>1</v>
      </c>
      <c r="I84" s="7">
        <v>1</v>
      </c>
      <c r="J84" s="7" t="s">
        <v>35</v>
      </c>
      <c r="K84" s="7">
        <v>2</v>
      </c>
      <c r="L84" s="7" t="s">
        <v>52</v>
      </c>
      <c r="M84" s="7">
        <f t="shared" si="4"/>
        <v>1</v>
      </c>
      <c r="N84" s="9" t="s">
        <v>34</v>
      </c>
      <c r="O84" s="7">
        <v>0</v>
      </c>
      <c r="P84" s="9" t="s">
        <v>34</v>
      </c>
      <c r="Q84" s="7" t="s">
        <v>38</v>
      </c>
      <c r="R84" s="7" t="s">
        <v>38</v>
      </c>
      <c r="S84" s="10" t="s">
        <v>1540</v>
      </c>
      <c r="T84" s="7"/>
      <c r="U84" s="7"/>
      <c r="V84" s="7"/>
      <c r="W84" s="7"/>
      <c r="X84" s="7">
        <v>3</v>
      </c>
      <c r="Y84" s="7"/>
      <c r="Z84" s="7"/>
      <c r="AA84" s="7"/>
      <c r="AB84" s="7">
        <f t="shared" si="7"/>
        <v>1</v>
      </c>
      <c r="AC84" s="7">
        <f t="shared" si="6"/>
        <v>1</v>
      </c>
      <c r="AD84" s="7"/>
      <c r="AE84" s="7"/>
      <c r="AF84" s="7"/>
      <c r="AG84" s="7"/>
      <c r="AH84" s="7"/>
      <c r="AI84" s="7"/>
      <c r="AJ84" s="7"/>
      <c r="AK84" s="7"/>
      <c r="AL84" s="9"/>
      <c r="AM84" s="7" t="s">
        <v>71</v>
      </c>
      <c r="AN84" s="7" t="s">
        <v>71</v>
      </c>
      <c r="AO84" s="7"/>
    </row>
    <row r="85" spans="1:41" s="11" customFormat="1" x14ac:dyDescent="0.25">
      <c r="A85" s="2">
        <v>84</v>
      </c>
      <c r="B85" s="7" t="s">
        <v>69</v>
      </c>
      <c r="C85" s="7" t="s">
        <v>119</v>
      </c>
      <c r="D85" s="7">
        <v>5</v>
      </c>
      <c r="E85" s="7">
        <v>5</v>
      </c>
      <c r="F85" s="8">
        <v>1</v>
      </c>
      <c r="G85" s="8">
        <v>1</v>
      </c>
      <c r="H85" s="7">
        <v>1</v>
      </c>
      <c r="I85" s="7">
        <v>1</v>
      </c>
      <c r="J85" s="7" t="s">
        <v>77</v>
      </c>
      <c r="K85" s="7">
        <v>1</v>
      </c>
      <c r="L85" s="7" t="s">
        <v>38</v>
      </c>
      <c r="M85" s="7">
        <f t="shared" si="4"/>
        <v>0</v>
      </c>
      <c r="N85" s="9" t="s">
        <v>34</v>
      </c>
      <c r="O85" s="7">
        <v>2</v>
      </c>
      <c r="P85" s="9" t="s">
        <v>37</v>
      </c>
      <c r="Q85" s="7"/>
      <c r="R85" s="7" t="s">
        <v>38</v>
      </c>
      <c r="S85" s="7" t="s">
        <v>307</v>
      </c>
      <c r="T85" s="7"/>
      <c r="U85" s="7"/>
      <c r="V85" s="7"/>
      <c r="W85" s="7"/>
      <c r="X85" s="7"/>
      <c r="Y85" s="7"/>
      <c r="Z85" s="7"/>
      <c r="AA85" s="7"/>
      <c r="AB85" s="7">
        <v>0.33333333333333298</v>
      </c>
      <c r="AC85" s="7">
        <f t="shared" si="6"/>
        <v>0</v>
      </c>
      <c r="AD85" s="7">
        <v>1</v>
      </c>
      <c r="AE85" s="7"/>
      <c r="AF85" s="7" t="s">
        <v>40</v>
      </c>
      <c r="AG85" s="7" t="s">
        <v>133</v>
      </c>
      <c r="AH85" s="7"/>
      <c r="AI85" s="7"/>
      <c r="AJ85" s="7"/>
      <c r="AK85" s="7"/>
      <c r="AL85" s="9"/>
      <c r="AM85" s="7" t="s">
        <v>71</v>
      </c>
      <c r="AN85" s="7" t="s">
        <v>71</v>
      </c>
      <c r="AO85" s="7"/>
    </row>
    <row r="86" spans="1:41" s="11" customFormat="1" x14ac:dyDescent="0.25">
      <c r="A86" s="2">
        <v>85</v>
      </c>
      <c r="B86" s="7" t="s">
        <v>69</v>
      </c>
      <c r="C86" s="7" t="s">
        <v>89</v>
      </c>
      <c r="D86" s="7" t="s">
        <v>134</v>
      </c>
      <c r="E86" s="7">
        <v>17</v>
      </c>
      <c r="F86" s="8">
        <v>3</v>
      </c>
      <c r="G86" s="8">
        <v>3</v>
      </c>
      <c r="H86" s="7" t="s">
        <v>97</v>
      </c>
      <c r="I86" s="7">
        <v>3</v>
      </c>
      <c r="J86" s="7" t="s">
        <v>70</v>
      </c>
      <c r="K86" s="7">
        <v>1</v>
      </c>
      <c r="L86" s="7" t="s">
        <v>52</v>
      </c>
      <c r="M86" s="7">
        <f t="shared" si="4"/>
        <v>3</v>
      </c>
      <c r="N86" s="9" t="s">
        <v>36</v>
      </c>
      <c r="O86" s="7">
        <v>0</v>
      </c>
      <c r="P86" s="9" t="s">
        <v>34</v>
      </c>
      <c r="Q86" s="7" t="s">
        <v>38</v>
      </c>
      <c r="R86" s="7" t="s">
        <v>38</v>
      </c>
      <c r="S86" s="10" t="s">
        <v>1541</v>
      </c>
      <c r="T86" s="7"/>
      <c r="U86" s="7"/>
      <c r="V86" s="7"/>
      <c r="W86" s="7"/>
      <c r="X86" s="7">
        <v>3</v>
      </c>
      <c r="Y86" s="7"/>
      <c r="Z86" s="7"/>
      <c r="AA86" s="7"/>
      <c r="AB86" s="7">
        <f>(U86+X86+Z86)/3</f>
        <v>1</v>
      </c>
      <c r="AC86" s="7">
        <f t="shared" si="6"/>
        <v>1</v>
      </c>
      <c r="AD86" s="7"/>
      <c r="AE86" s="7"/>
      <c r="AF86" s="7"/>
      <c r="AG86" s="7"/>
      <c r="AH86" s="7"/>
      <c r="AI86" s="7"/>
      <c r="AJ86" s="7"/>
      <c r="AK86" s="7"/>
      <c r="AL86" s="9"/>
      <c r="AM86" s="7" t="s">
        <v>71</v>
      </c>
      <c r="AN86" s="7" t="s">
        <v>71</v>
      </c>
      <c r="AO86" s="12"/>
    </row>
    <row r="87" spans="1:41" s="11" customFormat="1" ht="24" x14ac:dyDescent="0.25">
      <c r="A87" s="2">
        <v>86</v>
      </c>
      <c r="B87" s="7" t="s">
        <v>61</v>
      </c>
      <c r="C87" s="7" t="s">
        <v>78</v>
      </c>
      <c r="D87" s="7">
        <v>24</v>
      </c>
      <c r="E87" s="7">
        <v>24</v>
      </c>
      <c r="F87" s="8">
        <v>1</v>
      </c>
      <c r="G87" s="8">
        <v>1</v>
      </c>
      <c r="H87" s="7">
        <v>1</v>
      </c>
      <c r="I87" s="7">
        <v>1</v>
      </c>
      <c r="J87" s="7" t="s">
        <v>35</v>
      </c>
      <c r="K87" s="7">
        <v>2</v>
      </c>
      <c r="L87" s="7" t="s">
        <v>52</v>
      </c>
      <c r="M87" s="7">
        <f t="shared" si="4"/>
        <v>1</v>
      </c>
      <c r="N87" s="9" t="s">
        <v>34</v>
      </c>
      <c r="O87" s="7">
        <v>2</v>
      </c>
      <c r="P87" s="9" t="s">
        <v>33</v>
      </c>
      <c r="Q87" s="7" t="s">
        <v>38</v>
      </c>
      <c r="R87" s="7" t="s">
        <v>38</v>
      </c>
      <c r="S87" s="10" t="s">
        <v>135</v>
      </c>
      <c r="T87" s="7">
        <v>9</v>
      </c>
      <c r="U87" s="7">
        <v>9</v>
      </c>
      <c r="V87" s="7">
        <v>195</v>
      </c>
      <c r="W87" s="7" t="s">
        <v>136</v>
      </c>
      <c r="X87" s="7"/>
      <c r="Y87" s="7"/>
      <c r="Z87" s="7"/>
      <c r="AA87" s="7"/>
      <c r="AB87" s="7">
        <f>(U87+X87+Z87)/3</f>
        <v>3</v>
      </c>
      <c r="AC87" s="7">
        <f t="shared" si="6"/>
        <v>3</v>
      </c>
      <c r="AD87" s="7"/>
      <c r="AE87" s="7"/>
      <c r="AF87" s="7"/>
      <c r="AG87" s="7"/>
      <c r="AH87" s="7"/>
      <c r="AI87" s="7"/>
      <c r="AJ87" s="7"/>
      <c r="AK87" s="7"/>
      <c r="AL87" s="9"/>
      <c r="AM87" s="7" t="s">
        <v>137</v>
      </c>
      <c r="AN87" s="7" t="s">
        <v>2848</v>
      </c>
      <c r="AO87" s="7"/>
    </row>
    <row r="88" spans="1:41" s="11" customFormat="1" x14ac:dyDescent="0.25">
      <c r="A88" s="2">
        <v>87</v>
      </c>
      <c r="B88" s="7" t="s">
        <v>61</v>
      </c>
      <c r="C88" s="7" t="s">
        <v>104</v>
      </c>
      <c r="D88" s="7">
        <v>23</v>
      </c>
      <c r="E88" s="7">
        <v>23</v>
      </c>
      <c r="F88" s="8">
        <v>1</v>
      </c>
      <c r="G88" s="8">
        <v>1</v>
      </c>
      <c r="H88" s="7">
        <v>1</v>
      </c>
      <c r="I88" s="7">
        <v>1</v>
      </c>
      <c r="J88" s="7" t="s">
        <v>77</v>
      </c>
      <c r="K88" s="7">
        <v>1</v>
      </c>
      <c r="L88" s="7" t="s">
        <v>38</v>
      </c>
      <c r="M88" s="7">
        <f t="shared" si="4"/>
        <v>0</v>
      </c>
      <c r="N88" s="9" t="s">
        <v>36</v>
      </c>
      <c r="O88" s="7">
        <v>0</v>
      </c>
      <c r="P88" s="9" t="s">
        <v>63</v>
      </c>
      <c r="Q88" s="7" t="s">
        <v>38</v>
      </c>
      <c r="R88" s="7" t="s">
        <v>38</v>
      </c>
      <c r="S88" s="10" t="s">
        <v>1542</v>
      </c>
      <c r="T88" s="7"/>
      <c r="U88" s="7"/>
      <c r="V88" s="7"/>
      <c r="W88" s="7"/>
      <c r="X88" s="7">
        <v>3</v>
      </c>
      <c r="Y88" s="7"/>
      <c r="Z88" s="7"/>
      <c r="AA88" s="7"/>
      <c r="AB88" s="7">
        <f>(U88+X88+Z88)/3</f>
        <v>1</v>
      </c>
      <c r="AC88" s="7">
        <f t="shared" si="6"/>
        <v>0</v>
      </c>
      <c r="AD88" s="7"/>
      <c r="AE88" s="7">
        <v>1</v>
      </c>
      <c r="AF88" s="7" t="s">
        <v>40</v>
      </c>
      <c r="AG88" s="7" t="s">
        <v>138</v>
      </c>
      <c r="AH88" s="7"/>
      <c r="AI88" s="7"/>
      <c r="AJ88" s="7"/>
      <c r="AK88" s="7"/>
      <c r="AL88" s="9"/>
      <c r="AM88" s="7" t="s">
        <v>42</v>
      </c>
      <c r="AN88" s="7" t="s">
        <v>42</v>
      </c>
      <c r="AO88" s="7"/>
    </row>
    <row r="89" spans="1:41" s="11" customFormat="1" x14ac:dyDescent="0.25">
      <c r="A89" s="2">
        <v>88</v>
      </c>
      <c r="B89" s="7" t="s">
        <v>61</v>
      </c>
      <c r="C89" s="7" t="s">
        <v>115</v>
      </c>
      <c r="D89" s="7" t="s">
        <v>139</v>
      </c>
      <c r="E89" s="7">
        <v>11</v>
      </c>
      <c r="F89" s="8">
        <v>2</v>
      </c>
      <c r="G89" s="8">
        <v>2</v>
      </c>
      <c r="H89" s="7" t="s">
        <v>87</v>
      </c>
      <c r="I89" s="7">
        <v>2</v>
      </c>
      <c r="J89" s="7" t="s">
        <v>70</v>
      </c>
      <c r="K89" s="7">
        <v>2</v>
      </c>
      <c r="L89" s="7" t="s">
        <v>52</v>
      </c>
      <c r="M89" s="7">
        <f t="shared" si="4"/>
        <v>2</v>
      </c>
      <c r="N89" s="9" t="s">
        <v>36</v>
      </c>
      <c r="O89" s="7">
        <v>0</v>
      </c>
      <c r="P89" s="9" t="s">
        <v>33</v>
      </c>
      <c r="Q89" s="7"/>
      <c r="R89" s="7" t="s">
        <v>38</v>
      </c>
      <c r="S89" s="10" t="s">
        <v>1543</v>
      </c>
      <c r="T89" s="7"/>
      <c r="U89" s="7"/>
      <c r="V89" s="7"/>
      <c r="W89" s="7"/>
      <c r="X89" s="7"/>
      <c r="Y89" s="7"/>
      <c r="Z89" s="7"/>
      <c r="AA89" s="7"/>
      <c r="AB89" s="7">
        <v>0.33333333333333298</v>
      </c>
      <c r="AC89" s="7">
        <f t="shared" si="6"/>
        <v>0.33333333333333298</v>
      </c>
      <c r="AD89" s="7">
        <v>2</v>
      </c>
      <c r="AE89" s="7"/>
      <c r="AF89" s="7" t="s">
        <v>40</v>
      </c>
      <c r="AG89" s="7" t="s">
        <v>140</v>
      </c>
      <c r="AH89" s="7"/>
      <c r="AI89" s="7"/>
      <c r="AJ89" s="7"/>
      <c r="AK89" s="7"/>
      <c r="AL89" s="9"/>
      <c r="AM89" s="7" t="s">
        <v>71</v>
      </c>
      <c r="AN89" s="7" t="s">
        <v>71</v>
      </c>
      <c r="AO89" s="12"/>
    </row>
    <row r="90" spans="1:41" s="11" customFormat="1" x14ac:dyDescent="0.25">
      <c r="A90" s="2">
        <v>89</v>
      </c>
      <c r="B90" s="7" t="s">
        <v>61</v>
      </c>
      <c r="C90" s="7" t="s">
        <v>89</v>
      </c>
      <c r="D90" s="7" t="s">
        <v>141</v>
      </c>
      <c r="E90" s="7">
        <v>29</v>
      </c>
      <c r="F90" s="8">
        <v>4</v>
      </c>
      <c r="G90" s="8">
        <v>4</v>
      </c>
      <c r="H90" s="7" t="s">
        <v>91</v>
      </c>
      <c r="I90" s="7">
        <v>4</v>
      </c>
      <c r="J90" s="7" t="s">
        <v>35</v>
      </c>
      <c r="K90" s="7">
        <v>2</v>
      </c>
      <c r="L90" s="7" t="s">
        <v>52</v>
      </c>
      <c r="M90" s="7">
        <f t="shared" si="4"/>
        <v>4</v>
      </c>
      <c r="N90" s="9" t="s">
        <v>34</v>
      </c>
      <c r="O90" s="7">
        <v>2</v>
      </c>
      <c r="P90" s="9" t="s">
        <v>63</v>
      </c>
      <c r="Q90" s="7" t="s">
        <v>38</v>
      </c>
      <c r="R90" s="7" t="s">
        <v>38</v>
      </c>
      <c r="S90" s="10" t="s">
        <v>1544</v>
      </c>
      <c r="T90" s="7"/>
      <c r="U90" s="7"/>
      <c r="V90" s="7"/>
      <c r="W90" s="7"/>
      <c r="X90" s="7">
        <v>3</v>
      </c>
      <c r="Y90" s="7"/>
      <c r="Z90" s="7"/>
      <c r="AA90" s="7"/>
      <c r="AB90" s="7">
        <f t="shared" ref="AB90:AB96" si="8">(U90+X90+Z90)/3</f>
        <v>1</v>
      </c>
      <c r="AC90" s="7">
        <f t="shared" si="6"/>
        <v>1</v>
      </c>
      <c r="AD90" s="7"/>
      <c r="AE90" s="7"/>
      <c r="AF90" s="7"/>
      <c r="AG90" s="7"/>
      <c r="AH90" s="7"/>
      <c r="AI90" s="7"/>
      <c r="AJ90" s="7"/>
      <c r="AK90" s="7"/>
      <c r="AL90" s="9"/>
      <c r="AM90" s="7" t="s">
        <v>71</v>
      </c>
      <c r="AN90" s="7" t="s">
        <v>71</v>
      </c>
      <c r="AO90" s="12"/>
    </row>
    <row r="91" spans="1:41" s="11" customFormat="1" x14ac:dyDescent="0.25">
      <c r="A91" s="2">
        <v>90</v>
      </c>
      <c r="B91" s="7" t="s">
        <v>61</v>
      </c>
      <c r="C91" s="7" t="s">
        <v>100</v>
      </c>
      <c r="D91" s="7">
        <v>2</v>
      </c>
      <c r="E91" s="7">
        <v>2</v>
      </c>
      <c r="F91" s="8">
        <v>1</v>
      </c>
      <c r="G91" s="8">
        <v>1</v>
      </c>
      <c r="H91" s="7">
        <v>1</v>
      </c>
      <c r="I91" s="7">
        <v>1</v>
      </c>
      <c r="J91" s="7" t="s">
        <v>70</v>
      </c>
      <c r="K91" s="7">
        <v>1</v>
      </c>
      <c r="L91" s="7" t="s">
        <v>52</v>
      </c>
      <c r="M91" s="7">
        <f t="shared" si="4"/>
        <v>1</v>
      </c>
      <c r="N91" s="9" t="s">
        <v>36</v>
      </c>
      <c r="O91" s="7">
        <v>0</v>
      </c>
      <c r="P91" s="9" t="s">
        <v>36</v>
      </c>
      <c r="Q91" s="7" t="s">
        <v>38</v>
      </c>
      <c r="R91" s="7" t="s">
        <v>38</v>
      </c>
      <c r="S91" s="10" t="s">
        <v>169</v>
      </c>
      <c r="T91" s="7"/>
      <c r="U91" s="7"/>
      <c r="V91" s="7"/>
      <c r="W91" s="7"/>
      <c r="X91" s="7">
        <v>3</v>
      </c>
      <c r="Y91" s="7"/>
      <c r="Z91" s="7"/>
      <c r="AA91" s="7"/>
      <c r="AB91" s="7">
        <f t="shared" si="8"/>
        <v>1</v>
      </c>
      <c r="AC91" s="7">
        <f t="shared" si="6"/>
        <v>1</v>
      </c>
      <c r="AD91" s="7"/>
      <c r="AE91" s="7"/>
      <c r="AF91" s="7"/>
      <c r="AG91" s="7"/>
      <c r="AH91" s="7"/>
      <c r="AI91" s="7"/>
      <c r="AJ91" s="7"/>
      <c r="AK91" s="7"/>
      <c r="AL91" s="9"/>
      <c r="AM91" s="7" t="s">
        <v>71</v>
      </c>
      <c r="AN91" s="7" t="s">
        <v>71</v>
      </c>
      <c r="AO91" s="12"/>
    </row>
    <row r="92" spans="1:41" s="11" customFormat="1" x14ac:dyDescent="0.25">
      <c r="A92" s="2">
        <v>91</v>
      </c>
      <c r="B92" s="7" t="s">
        <v>61</v>
      </c>
      <c r="C92" s="7" t="s">
        <v>50</v>
      </c>
      <c r="D92" s="7">
        <v>3</v>
      </c>
      <c r="E92" s="7">
        <v>3</v>
      </c>
      <c r="F92" s="8">
        <v>1</v>
      </c>
      <c r="G92" s="8">
        <v>1</v>
      </c>
      <c r="H92" s="7">
        <v>1</v>
      </c>
      <c r="I92" s="7">
        <v>1</v>
      </c>
      <c r="J92" s="7" t="s">
        <v>70</v>
      </c>
      <c r="K92" s="7">
        <v>2</v>
      </c>
      <c r="L92" s="7" t="s">
        <v>52</v>
      </c>
      <c r="M92" s="7">
        <f t="shared" si="4"/>
        <v>1</v>
      </c>
      <c r="N92" s="9" t="s">
        <v>36</v>
      </c>
      <c r="O92" s="7">
        <v>0</v>
      </c>
      <c r="P92" s="9" t="s">
        <v>37</v>
      </c>
      <c r="Q92" s="7" t="s">
        <v>38</v>
      </c>
      <c r="R92" s="7" t="s">
        <v>52</v>
      </c>
      <c r="S92" s="7"/>
      <c r="T92" s="7"/>
      <c r="U92" s="7"/>
      <c r="V92" s="7"/>
      <c r="W92" s="7"/>
      <c r="X92" s="7"/>
      <c r="Y92" s="7" t="s">
        <v>92</v>
      </c>
      <c r="Z92" s="7">
        <v>3</v>
      </c>
      <c r="AA92" s="7" t="s">
        <v>76</v>
      </c>
      <c r="AB92" s="7">
        <f t="shared" si="8"/>
        <v>1</v>
      </c>
      <c r="AC92" s="7">
        <f t="shared" si="6"/>
        <v>1</v>
      </c>
      <c r="AD92" s="7"/>
      <c r="AE92" s="7"/>
      <c r="AF92" s="7"/>
      <c r="AG92" s="7"/>
      <c r="AH92" s="7"/>
      <c r="AI92" s="7"/>
      <c r="AJ92" s="7"/>
      <c r="AK92" s="7"/>
      <c r="AL92" s="9"/>
      <c r="AM92" s="7" t="s">
        <v>71</v>
      </c>
      <c r="AN92" s="7" t="s">
        <v>71</v>
      </c>
      <c r="AO92" s="12"/>
    </row>
    <row r="93" spans="1:41" s="11" customFormat="1" x14ac:dyDescent="0.25">
      <c r="A93" s="2">
        <v>92</v>
      </c>
      <c r="B93" s="7" t="s">
        <v>68</v>
      </c>
      <c r="C93" s="7" t="s">
        <v>89</v>
      </c>
      <c r="D93" s="7" t="s">
        <v>142</v>
      </c>
      <c r="E93" s="7">
        <f>17+15+11+9</f>
        <v>52</v>
      </c>
      <c r="F93" s="8">
        <v>1</v>
      </c>
      <c r="G93" s="8">
        <v>4</v>
      </c>
      <c r="H93" s="7" t="s">
        <v>143</v>
      </c>
      <c r="I93" s="7">
        <v>4</v>
      </c>
      <c r="J93" s="7" t="s">
        <v>70</v>
      </c>
      <c r="K93" s="7">
        <v>1</v>
      </c>
      <c r="L93" s="7" t="s">
        <v>52</v>
      </c>
      <c r="M93" s="7">
        <f t="shared" si="4"/>
        <v>1</v>
      </c>
      <c r="N93" s="9" t="s">
        <v>82</v>
      </c>
      <c r="O93" s="7">
        <v>0</v>
      </c>
      <c r="P93" s="9" t="s">
        <v>33</v>
      </c>
      <c r="Q93" s="7" t="s">
        <v>38</v>
      </c>
      <c r="R93" s="7" t="s">
        <v>38</v>
      </c>
      <c r="S93" s="10" t="s">
        <v>1545</v>
      </c>
      <c r="T93" s="7"/>
      <c r="U93" s="7"/>
      <c r="V93" s="7"/>
      <c r="W93" s="7"/>
      <c r="X93" s="7">
        <v>5</v>
      </c>
      <c r="Y93" s="7"/>
      <c r="Z93" s="7"/>
      <c r="AA93" s="7"/>
      <c r="AB93" s="7">
        <f t="shared" si="8"/>
        <v>1.6666666666666667</v>
      </c>
      <c r="AC93" s="7">
        <f t="shared" si="6"/>
        <v>1.6666666666666667</v>
      </c>
      <c r="AD93" s="7"/>
      <c r="AE93" s="7">
        <v>1</v>
      </c>
      <c r="AF93" s="7"/>
      <c r="AG93" s="7" t="s">
        <v>144</v>
      </c>
      <c r="AH93" s="7"/>
      <c r="AI93" s="7"/>
      <c r="AJ93" s="7"/>
      <c r="AK93" s="7"/>
      <c r="AL93" s="9"/>
      <c r="AM93" s="7" t="s">
        <v>71</v>
      </c>
      <c r="AN93" s="7" t="s">
        <v>71</v>
      </c>
      <c r="AO93" s="12"/>
    </row>
    <row r="94" spans="1:41" s="11" customFormat="1" x14ac:dyDescent="0.25">
      <c r="A94" s="2">
        <v>93</v>
      </c>
      <c r="B94" s="7" t="s">
        <v>68</v>
      </c>
      <c r="C94" s="7" t="s">
        <v>50</v>
      </c>
      <c r="D94" s="7">
        <v>9</v>
      </c>
      <c r="E94" s="7">
        <v>9</v>
      </c>
      <c r="F94" s="8">
        <v>1</v>
      </c>
      <c r="G94" s="8">
        <v>1</v>
      </c>
      <c r="H94" s="7">
        <v>1</v>
      </c>
      <c r="I94" s="7">
        <v>1</v>
      </c>
      <c r="J94" s="7" t="s">
        <v>70</v>
      </c>
      <c r="K94" s="7">
        <v>2</v>
      </c>
      <c r="L94" s="7" t="s">
        <v>52</v>
      </c>
      <c r="M94" s="7">
        <f t="shared" si="4"/>
        <v>1</v>
      </c>
      <c r="N94" s="9" t="s">
        <v>36</v>
      </c>
      <c r="O94" s="7">
        <v>0</v>
      </c>
      <c r="P94" s="9" t="s">
        <v>37</v>
      </c>
      <c r="Q94" s="7" t="s">
        <v>38</v>
      </c>
      <c r="R94" s="7" t="s">
        <v>52</v>
      </c>
      <c r="S94" s="7"/>
      <c r="T94" s="7"/>
      <c r="U94" s="7"/>
      <c r="V94" s="7"/>
      <c r="W94" s="7"/>
      <c r="X94" s="7"/>
      <c r="Y94" s="7">
        <v>10</v>
      </c>
      <c r="Z94" s="7">
        <v>10</v>
      </c>
      <c r="AA94" s="7" t="s">
        <v>76</v>
      </c>
      <c r="AB94" s="7">
        <f t="shared" si="8"/>
        <v>3.3333333333333335</v>
      </c>
      <c r="AC94" s="7">
        <f t="shared" si="6"/>
        <v>3.3333333333333335</v>
      </c>
      <c r="AD94" s="7"/>
      <c r="AE94" s="7"/>
      <c r="AF94" s="7"/>
      <c r="AG94" s="7"/>
      <c r="AH94" s="7"/>
      <c r="AI94" s="7"/>
      <c r="AJ94" s="7"/>
      <c r="AK94" s="7"/>
      <c r="AL94" s="9"/>
      <c r="AM94" s="7" t="s">
        <v>71</v>
      </c>
      <c r="AN94" s="7" t="s">
        <v>71</v>
      </c>
      <c r="AO94" s="12"/>
    </row>
    <row r="95" spans="1:41" s="11" customFormat="1" x14ac:dyDescent="0.25">
      <c r="A95" s="2">
        <v>94</v>
      </c>
      <c r="B95" s="7" t="s">
        <v>68</v>
      </c>
      <c r="C95" s="7" t="s">
        <v>100</v>
      </c>
      <c r="D95" s="7">
        <v>7</v>
      </c>
      <c r="E95" s="7">
        <v>7</v>
      </c>
      <c r="F95" s="8">
        <v>1</v>
      </c>
      <c r="G95" s="8">
        <v>1</v>
      </c>
      <c r="H95" s="7">
        <v>1</v>
      </c>
      <c r="I95" s="7">
        <v>1</v>
      </c>
      <c r="J95" s="7" t="s">
        <v>35</v>
      </c>
      <c r="K95" s="7">
        <v>2</v>
      </c>
      <c r="L95" s="7" t="s">
        <v>52</v>
      </c>
      <c r="M95" s="7">
        <f t="shared" si="4"/>
        <v>1</v>
      </c>
      <c r="N95" s="9" t="s">
        <v>36</v>
      </c>
      <c r="O95" s="7">
        <v>0</v>
      </c>
      <c r="P95" s="9" t="s">
        <v>37</v>
      </c>
      <c r="Q95" s="7" t="s">
        <v>38</v>
      </c>
      <c r="R95" s="7" t="s">
        <v>38</v>
      </c>
      <c r="S95" s="7"/>
      <c r="T95" s="7"/>
      <c r="U95" s="7"/>
      <c r="V95" s="7"/>
      <c r="W95" s="7"/>
      <c r="X95" s="7">
        <v>3</v>
      </c>
      <c r="Y95" s="7"/>
      <c r="Z95" s="7"/>
      <c r="AA95" s="7"/>
      <c r="AB95" s="7">
        <f t="shared" si="8"/>
        <v>1</v>
      </c>
      <c r="AC95" s="7">
        <f t="shared" si="6"/>
        <v>1</v>
      </c>
      <c r="AD95" s="7"/>
      <c r="AE95" s="7"/>
      <c r="AF95" s="7"/>
      <c r="AG95" s="7"/>
      <c r="AH95" s="7"/>
      <c r="AI95" s="7"/>
      <c r="AJ95" s="7"/>
      <c r="AK95" s="7"/>
      <c r="AL95" s="9"/>
      <c r="AM95" s="7" t="s">
        <v>71</v>
      </c>
      <c r="AN95" s="7" t="s">
        <v>71</v>
      </c>
      <c r="AO95" s="12"/>
    </row>
    <row r="96" spans="1:41" s="11" customFormat="1" x14ac:dyDescent="0.25">
      <c r="A96" s="2">
        <v>95</v>
      </c>
      <c r="B96" s="7" t="s">
        <v>68</v>
      </c>
      <c r="C96" s="7" t="s">
        <v>89</v>
      </c>
      <c r="D96" s="7" t="s">
        <v>145</v>
      </c>
      <c r="E96" s="7">
        <v>9</v>
      </c>
      <c r="F96" s="8">
        <v>3</v>
      </c>
      <c r="G96" s="8">
        <v>3</v>
      </c>
      <c r="H96" s="7" t="s">
        <v>97</v>
      </c>
      <c r="I96" s="7">
        <v>3</v>
      </c>
      <c r="J96" s="7" t="s">
        <v>70</v>
      </c>
      <c r="K96" s="7">
        <v>1</v>
      </c>
      <c r="L96" s="7" t="s">
        <v>52</v>
      </c>
      <c r="M96" s="7">
        <f t="shared" si="4"/>
        <v>3</v>
      </c>
      <c r="N96" s="9" t="s">
        <v>36</v>
      </c>
      <c r="O96" s="7">
        <v>0</v>
      </c>
      <c r="P96" s="9" t="s">
        <v>34</v>
      </c>
      <c r="Q96" s="7" t="s">
        <v>38</v>
      </c>
      <c r="R96" s="7" t="s">
        <v>38</v>
      </c>
      <c r="S96" s="7"/>
      <c r="T96" s="7"/>
      <c r="U96" s="7"/>
      <c r="V96" s="7"/>
      <c r="W96" s="7"/>
      <c r="X96" s="7">
        <v>3</v>
      </c>
      <c r="Y96" s="7"/>
      <c r="Z96" s="7"/>
      <c r="AA96" s="7"/>
      <c r="AB96" s="7">
        <f t="shared" si="8"/>
        <v>1</v>
      </c>
      <c r="AC96" s="7">
        <f t="shared" si="6"/>
        <v>1</v>
      </c>
      <c r="AD96" s="7"/>
      <c r="AE96" s="7"/>
      <c r="AF96" s="7"/>
      <c r="AG96" s="7"/>
      <c r="AH96" s="7"/>
      <c r="AI96" s="7"/>
      <c r="AJ96" s="7"/>
      <c r="AK96" s="7"/>
      <c r="AL96" s="9"/>
      <c r="AM96" s="7" t="s">
        <v>71</v>
      </c>
      <c r="AN96" s="7" t="s">
        <v>71</v>
      </c>
      <c r="AO96" s="12"/>
    </row>
    <row r="97" spans="1:41" s="11" customFormat="1" ht="24" x14ac:dyDescent="0.25">
      <c r="A97" s="2">
        <v>96</v>
      </c>
      <c r="B97" s="7" t="s">
        <v>68</v>
      </c>
      <c r="C97" s="7" t="s">
        <v>115</v>
      </c>
      <c r="D97" s="7" t="s">
        <v>146</v>
      </c>
      <c r="E97" s="7">
        <v>5</v>
      </c>
      <c r="F97" s="8">
        <v>2</v>
      </c>
      <c r="G97" s="8">
        <v>2</v>
      </c>
      <c r="H97" s="7" t="s">
        <v>87</v>
      </c>
      <c r="I97" s="7">
        <v>2</v>
      </c>
      <c r="J97" s="7" t="s">
        <v>70</v>
      </c>
      <c r="K97" s="7">
        <v>1</v>
      </c>
      <c r="L97" s="7" t="s">
        <v>52</v>
      </c>
      <c r="M97" s="7">
        <f t="shared" si="4"/>
        <v>2</v>
      </c>
      <c r="N97" s="9" t="s">
        <v>36</v>
      </c>
      <c r="O97" s="7">
        <v>0</v>
      </c>
      <c r="P97" s="9" t="s">
        <v>63</v>
      </c>
      <c r="Q97" s="7" t="s">
        <v>38</v>
      </c>
      <c r="R97" s="7" t="s">
        <v>38</v>
      </c>
      <c r="S97" s="7" t="s">
        <v>147</v>
      </c>
      <c r="T97" s="7"/>
      <c r="U97" s="7"/>
      <c r="V97" s="7"/>
      <c r="W97" s="7"/>
      <c r="X97" s="7"/>
      <c r="Y97" s="7"/>
      <c r="Z97" s="7"/>
      <c r="AA97" s="7"/>
      <c r="AB97" s="7">
        <v>0.33333333333333298</v>
      </c>
      <c r="AC97" s="7">
        <f t="shared" si="6"/>
        <v>0.33333333333333298</v>
      </c>
      <c r="AD97" s="7"/>
      <c r="AE97" s="7"/>
      <c r="AF97" s="7" t="s">
        <v>40</v>
      </c>
      <c r="AG97" s="7" t="s">
        <v>148</v>
      </c>
      <c r="AH97" s="7"/>
      <c r="AI97" s="7"/>
      <c r="AJ97" s="7"/>
      <c r="AK97" s="7"/>
      <c r="AL97" s="9"/>
      <c r="AM97" s="7" t="s">
        <v>71</v>
      </c>
      <c r="AN97" s="7" t="s">
        <v>71</v>
      </c>
      <c r="AO97" s="12"/>
    </row>
    <row r="98" spans="1:41" s="11" customFormat="1" x14ac:dyDescent="0.25">
      <c r="A98" s="2">
        <v>97</v>
      </c>
      <c r="B98" s="7" t="s">
        <v>72</v>
      </c>
      <c r="C98" s="7" t="s">
        <v>100</v>
      </c>
      <c r="D98" s="7">
        <v>4</v>
      </c>
      <c r="E98" s="7">
        <v>4</v>
      </c>
      <c r="F98" s="8">
        <v>1</v>
      </c>
      <c r="G98" s="8">
        <v>1</v>
      </c>
      <c r="H98" s="7">
        <v>1</v>
      </c>
      <c r="I98" s="7">
        <v>1</v>
      </c>
      <c r="J98" s="7" t="s">
        <v>77</v>
      </c>
      <c r="K98" s="7">
        <v>1</v>
      </c>
      <c r="L98" s="7" t="s">
        <v>38</v>
      </c>
      <c r="M98" s="7">
        <f t="shared" si="4"/>
        <v>0</v>
      </c>
      <c r="N98" s="9" t="s">
        <v>34</v>
      </c>
      <c r="O98" s="7">
        <v>0</v>
      </c>
      <c r="P98" s="9" t="s">
        <v>36</v>
      </c>
      <c r="Q98" s="7" t="s">
        <v>38</v>
      </c>
      <c r="R98" s="7" t="s">
        <v>38</v>
      </c>
      <c r="S98" s="7"/>
      <c r="T98" s="7"/>
      <c r="U98" s="7"/>
      <c r="V98" s="7"/>
      <c r="W98" s="7"/>
      <c r="X98" s="7">
        <v>3</v>
      </c>
      <c r="Y98" s="7"/>
      <c r="Z98" s="7"/>
      <c r="AA98" s="7"/>
      <c r="AB98" s="7">
        <f>(U98+X98+Z98)/3</f>
        <v>1</v>
      </c>
      <c r="AC98" s="7">
        <f t="shared" si="6"/>
        <v>0</v>
      </c>
      <c r="AD98" s="7"/>
      <c r="AE98" s="7"/>
      <c r="AF98" s="7"/>
      <c r="AG98" s="7"/>
      <c r="AH98" s="7"/>
      <c r="AI98" s="7"/>
      <c r="AJ98" s="7"/>
      <c r="AK98" s="10" t="s">
        <v>2431</v>
      </c>
      <c r="AL98" s="9"/>
      <c r="AM98" s="7" t="s">
        <v>71</v>
      </c>
      <c r="AN98" s="7" t="s">
        <v>71</v>
      </c>
      <c r="AO98" s="12"/>
    </row>
    <row r="99" spans="1:41" s="11" customFormat="1" x14ac:dyDescent="0.25">
      <c r="A99" s="2">
        <v>98</v>
      </c>
      <c r="B99" s="7" t="s">
        <v>149</v>
      </c>
      <c r="C99" s="7" t="s">
        <v>119</v>
      </c>
      <c r="D99" s="7">
        <v>5</v>
      </c>
      <c r="E99" s="7">
        <v>5</v>
      </c>
      <c r="F99" s="8">
        <v>1</v>
      </c>
      <c r="G99" s="8">
        <v>1</v>
      </c>
      <c r="H99" s="7">
        <v>1</v>
      </c>
      <c r="I99" s="7">
        <v>1</v>
      </c>
      <c r="J99" s="7" t="s">
        <v>35</v>
      </c>
      <c r="K99" s="7">
        <v>2</v>
      </c>
      <c r="L99" s="7" t="s">
        <v>52</v>
      </c>
      <c r="M99" s="7">
        <f t="shared" si="4"/>
        <v>1</v>
      </c>
      <c r="N99" s="9" t="s">
        <v>34</v>
      </c>
      <c r="O99" s="7">
        <v>0</v>
      </c>
      <c r="P99" s="9" t="s">
        <v>63</v>
      </c>
      <c r="Q99" s="7" t="s">
        <v>38</v>
      </c>
      <c r="R99" s="7" t="s">
        <v>38</v>
      </c>
      <c r="S99" s="7" t="s">
        <v>307</v>
      </c>
      <c r="T99" s="7"/>
      <c r="U99" s="7"/>
      <c r="V99" s="7"/>
      <c r="W99" s="7"/>
      <c r="X99" s="7"/>
      <c r="Y99" s="7"/>
      <c r="Z99" s="7"/>
      <c r="AA99" s="7"/>
      <c r="AB99" s="7">
        <v>0.33333333333333298</v>
      </c>
      <c r="AC99" s="7">
        <f t="shared" si="6"/>
        <v>0.33333333333333298</v>
      </c>
      <c r="AD99" s="7">
        <v>1</v>
      </c>
      <c r="AE99" s="7"/>
      <c r="AF99" s="7" t="s">
        <v>40</v>
      </c>
      <c r="AG99" s="7" t="s">
        <v>150</v>
      </c>
      <c r="AH99" s="7"/>
      <c r="AI99" s="7"/>
      <c r="AJ99" s="7"/>
      <c r="AK99" s="7"/>
      <c r="AL99" s="9"/>
      <c r="AM99" s="7" t="s">
        <v>71</v>
      </c>
      <c r="AN99" s="7" t="s">
        <v>71</v>
      </c>
      <c r="AO99" s="12"/>
    </row>
    <row r="100" spans="1:41" s="11" customFormat="1" x14ac:dyDescent="0.25">
      <c r="A100" s="2">
        <v>99</v>
      </c>
      <c r="B100" s="7" t="s">
        <v>149</v>
      </c>
      <c r="C100" s="7" t="s">
        <v>100</v>
      </c>
      <c r="D100" s="7">
        <v>1</v>
      </c>
      <c r="E100" s="7">
        <v>1</v>
      </c>
      <c r="F100" s="8">
        <v>1</v>
      </c>
      <c r="G100" s="8">
        <v>1</v>
      </c>
      <c r="H100" s="7">
        <v>1</v>
      </c>
      <c r="I100" s="7">
        <v>1</v>
      </c>
      <c r="J100" s="7" t="s">
        <v>70</v>
      </c>
      <c r="K100" s="7">
        <v>1</v>
      </c>
      <c r="L100" s="7" t="s">
        <v>52</v>
      </c>
      <c r="M100" s="7">
        <f t="shared" si="4"/>
        <v>1</v>
      </c>
      <c r="N100" s="9" t="s">
        <v>34</v>
      </c>
      <c r="O100" s="7">
        <v>0</v>
      </c>
      <c r="P100" s="9" t="s">
        <v>33</v>
      </c>
      <c r="Q100" s="7" t="s">
        <v>38</v>
      </c>
      <c r="R100" s="7" t="s">
        <v>38</v>
      </c>
      <c r="S100" s="10" t="s">
        <v>1546</v>
      </c>
      <c r="T100" s="7"/>
      <c r="U100" s="7"/>
      <c r="V100" s="7"/>
      <c r="W100" s="7"/>
      <c r="X100" s="7">
        <v>3</v>
      </c>
      <c r="Y100" s="7"/>
      <c r="Z100" s="7"/>
      <c r="AA100" s="7"/>
      <c r="AB100" s="7">
        <f>(U100+X100+Z100)/3</f>
        <v>1</v>
      </c>
      <c r="AC100" s="7">
        <f t="shared" si="6"/>
        <v>1</v>
      </c>
      <c r="AD100" s="7"/>
      <c r="AE100" s="7"/>
      <c r="AF100" s="7"/>
      <c r="AG100" s="7"/>
      <c r="AH100" s="7"/>
      <c r="AI100" s="7"/>
      <c r="AJ100" s="7"/>
      <c r="AK100" s="7"/>
      <c r="AL100" s="9"/>
      <c r="AM100" s="7" t="s">
        <v>71</v>
      </c>
      <c r="AN100" s="7" t="s">
        <v>71</v>
      </c>
      <c r="AO100" s="12"/>
    </row>
    <row r="101" spans="1:41" s="11" customFormat="1" x14ac:dyDescent="0.25">
      <c r="A101" s="2">
        <v>100</v>
      </c>
      <c r="B101" s="7" t="s">
        <v>149</v>
      </c>
      <c r="C101" s="7" t="s">
        <v>119</v>
      </c>
      <c r="D101" s="7">
        <v>4</v>
      </c>
      <c r="E101" s="7">
        <v>4</v>
      </c>
      <c r="F101" s="8">
        <v>1</v>
      </c>
      <c r="G101" s="8">
        <v>1</v>
      </c>
      <c r="H101" s="7">
        <v>1</v>
      </c>
      <c r="I101" s="7">
        <v>1</v>
      </c>
      <c r="J101" s="7" t="s">
        <v>77</v>
      </c>
      <c r="K101" s="7">
        <v>1</v>
      </c>
      <c r="L101" s="7" t="s">
        <v>38</v>
      </c>
      <c r="M101" s="7">
        <f t="shared" si="4"/>
        <v>0</v>
      </c>
      <c r="N101" s="9" t="s">
        <v>34</v>
      </c>
      <c r="O101" s="7">
        <v>1</v>
      </c>
      <c r="P101" s="9" t="s">
        <v>63</v>
      </c>
      <c r="Q101" s="7" t="s">
        <v>38</v>
      </c>
      <c r="R101" s="7" t="s">
        <v>38</v>
      </c>
      <c r="S101" s="10" t="s">
        <v>1547</v>
      </c>
      <c r="T101" s="7"/>
      <c r="U101" s="7"/>
      <c r="V101" s="7"/>
      <c r="W101" s="7"/>
      <c r="X101" s="7"/>
      <c r="Y101" s="7"/>
      <c r="Z101" s="7"/>
      <c r="AA101" s="7"/>
      <c r="AB101" s="7">
        <v>0.33333333333333298</v>
      </c>
      <c r="AC101" s="7">
        <f t="shared" si="6"/>
        <v>0</v>
      </c>
      <c r="AD101" s="7">
        <v>1</v>
      </c>
      <c r="AE101" s="7"/>
      <c r="AF101" s="7" t="s">
        <v>40</v>
      </c>
      <c r="AG101" s="7" t="s">
        <v>120</v>
      </c>
      <c r="AH101" s="7"/>
      <c r="AI101" s="7"/>
      <c r="AJ101" s="7"/>
      <c r="AK101" s="7"/>
      <c r="AL101" s="9"/>
      <c r="AM101" s="7" t="s">
        <v>71</v>
      </c>
      <c r="AN101" s="7" t="s">
        <v>71</v>
      </c>
      <c r="AO101" s="12"/>
    </row>
    <row r="102" spans="1:41" s="11" customFormat="1" x14ac:dyDescent="0.25">
      <c r="A102" s="2">
        <v>101</v>
      </c>
      <c r="B102" s="7" t="s">
        <v>149</v>
      </c>
      <c r="C102" s="7" t="s">
        <v>100</v>
      </c>
      <c r="D102" s="7">
        <v>1</v>
      </c>
      <c r="E102" s="7">
        <v>1</v>
      </c>
      <c r="F102" s="8">
        <v>1</v>
      </c>
      <c r="G102" s="8">
        <v>1</v>
      </c>
      <c r="H102" s="7">
        <v>1</v>
      </c>
      <c r="I102" s="7">
        <v>1</v>
      </c>
      <c r="J102" s="7" t="s">
        <v>70</v>
      </c>
      <c r="K102" s="7">
        <v>1</v>
      </c>
      <c r="L102" s="7" t="s">
        <v>52</v>
      </c>
      <c r="M102" s="7">
        <f t="shared" si="4"/>
        <v>1</v>
      </c>
      <c r="N102" s="9" t="s">
        <v>36</v>
      </c>
      <c r="O102" s="7">
        <v>0</v>
      </c>
      <c r="P102" s="9" t="s">
        <v>33</v>
      </c>
      <c r="Q102" s="7" t="s">
        <v>38</v>
      </c>
      <c r="R102" s="7" t="s">
        <v>38</v>
      </c>
      <c r="S102" s="7"/>
      <c r="T102" s="7"/>
      <c r="U102" s="7"/>
      <c r="V102" s="7"/>
      <c r="W102" s="7"/>
      <c r="X102" s="7">
        <v>3</v>
      </c>
      <c r="Y102" s="7"/>
      <c r="Z102" s="7"/>
      <c r="AA102" s="7"/>
      <c r="AB102" s="7">
        <f t="shared" ref="AB102:AB116" si="9">(U102+X102+Z102)/3</f>
        <v>1</v>
      </c>
      <c r="AC102" s="7">
        <f t="shared" si="6"/>
        <v>1</v>
      </c>
      <c r="AD102" s="7"/>
      <c r="AE102" s="7"/>
      <c r="AF102" s="7"/>
      <c r="AG102" s="7"/>
      <c r="AH102" s="7"/>
      <c r="AI102" s="7"/>
      <c r="AJ102" s="7"/>
      <c r="AK102" s="7"/>
      <c r="AL102" s="9"/>
      <c r="AM102" s="7" t="s">
        <v>71</v>
      </c>
      <c r="AN102" s="7" t="s">
        <v>71</v>
      </c>
      <c r="AO102" s="12"/>
    </row>
    <row r="103" spans="1:41" s="11" customFormat="1" x14ac:dyDescent="0.25">
      <c r="A103" s="2">
        <v>102</v>
      </c>
      <c r="B103" s="7" t="s">
        <v>151</v>
      </c>
      <c r="C103" s="7" t="s">
        <v>104</v>
      </c>
      <c r="D103" s="7">
        <v>5</v>
      </c>
      <c r="E103" s="7">
        <v>5</v>
      </c>
      <c r="F103" s="8">
        <v>1</v>
      </c>
      <c r="G103" s="8">
        <v>1</v>
      </c>
      <c r="H103" s="7">
        <v>1</v>
      </c>
      <c r="I103" s="7">
        <v>1</v>
      </c>
      <c r="J103" s="7" t="s">
        <v>77</v>
      </c>
      <c r="K103" s="7">
        <v>1</v>
      </c>
      <c r="L103" s="7" t="s">
        <v>38</v>
      </c>
      <c r="M103" s="7">
        <f t="shared" si="4"/>
        <v>0</v>
      </c>
      <c r="N103" s="9" t="s">
        <v>82</v>
      </c>
      <c r="O103" s="7">
        <v>0</v>
      </c>
      <c r="P103" s="9" t="s">
        <v>37</v>
      </c>
      <c r="Q103" s="7" t="s">
        <v>38</v>
      </c>
      <c r="R103" s="7" t="s">
        <v>38</v>
      </c>
      <c r="S103" s="7"/>
      <c r="T103" s="7"/>
      <c r="U103" s="7"/>
      <c r="V103" s="7"/>
      <c r="W103" s="7"/>
      <c r="X103" s="7">
        <v>3</v>
      </c>
      <c r="Y103" s="7"/>
      <c r="Z103" s="7"/>
      <c r="AA103" s="7"/>
      <c r="AB103" s="7">
        <f t="shared" si="9"/>
        <v>1</v>
      </c>
      <c r="AC103" s="7">
        <f t="shared" si="6"/>
        <v>0</v>
      </c>
      <c r="AD103" s="7"/>
      <c r="AE103" s="7">
        <v>1</v>
      </c>
      <c r="AF103" s="7" t="s">
        <v>40</v>
      </c>
      <c r="AG103" s="7"/>
      <c r="AH103" s="7"/>
      <c r="AI103" s="7"/>
      <c r="AJ103" s="7"/>
      <c r="AK103" s="10" t="s">
        <v>2432</v>
      </c>
      <c r="AL103" s="9"/>
      <c r="AM103" s="7" t="s">
        <v>42</v>
      </c>
      <c r="AN103" s="7" t="s">
        <v>42</v>
      </c>
      <c r="AO103" s="7"/>
    </row>
    <row r="104" spans="1:41" s="11" customFormat="1" x14ac:dyDescent="0.25">
      <c r="A104" s="2">
        <v>103</v>
      </c>
      <c r="B104" s="7" t="s">
        <v>151</v>
      </c>
      <c r="C104" s="7" t="s">
        <v>104</v>
      </c>
      <c r="D104" s="7">
        <v>11</v>
      </c>
      <c r="E104" s="7">
        <v>11</v>
      </c>
      <c r="F104" s="8">
        <v>1</v>
      </c>
      <c r="G104" s="8">
        <v>1</v>
      </c>
      <c r="H104" s="7">
        <v>1</v>
      </c>
      <c r="I104" s="7">
        <v>1</v>
      </c>
      <c r="J104" s="7" t="s">
        <v>70</v>
      </c>
      <c r="K104" s="7">
        <v>1</v>
      </c>
      <c r="L104" s="7" t="s">
        <v>52</v>
      </c>
      <c r="M104" s="7">
        <f t="shared" si="4"/>
        <v>1</v>
      </c>
      <c r="N104" s="9" t="s">
        <v>36</v>
      </c>
      <c r="O104" s="7">
        <v>0</v>
      </c>
      <c r="P104" s="9" t="s">
        <v>37</v>
      </c>
      <c r="Q104" s="7" t="s">
        <v>38</v>
      </c>
      <c r="R104" s="7" t="s">
        <v>38</v>
      </c>
      <c r="S104" s="7" t="s">
        <v>307</v>
      </c>
      <c r="T104" s="7"/>
      <c r="U104" s="7"/>
      <c r="V104" s="7"/>
      <c r="W104" s="7"/>
      <c r="X104" s="7">
        <v>3</v>
      </c>
      <c r="Y104" s="7"/>
      <c r="Z104" s="7"/>
      <c r="AA104" s="7"/>
      <c r="AB104" s="7">
        <f t="shared" si="9"/>
        <v>1</v>
      </c>
      <c r="AC104" s="7">
        <f t="shared" si="6"/>
        <v>1</v>
      </c>
      <c r="AD104" s="7"/>
      <c r="AE104" s="7">
        <v>1</v>
      </c>
      <c r="AF104" s="7" t="s">
        <v>40</v>
      </c>
      <c r="AG104" s="7" t="s">
        <v>152</v>
      </c>
      <c r="AH104" s="7"/>
      <c r="AI104" s="7"/>
      <c r="AJ104" s="7"/>
      <c r="AK104" s="7"/>
      <c r="AL104" s="9"/>
      <c r="AM104" s="7" t="s">
        <v>71</v>
      </c>
      <c r="AN104" s="7" t="s">
        <v>71</v>
      </c>
      <c r="AO104" s="7"/>
    </row>
    <row r="105" spans="1:41" s="11" customFormat="1" x14ac:dyDescent="0.25">
      <c r="A105" s="2">
        <v>104</v>
      </c>
      <c r="B105" s="7" t="s">
        <v>151</v>
      </c>
      <c r="C105" s="7" t="s">
        <v>104</v>
      </c>
      <c r="D105" s="7">
        <v>4</v>
      </c>
      <c r="E105" s="7">
        <v>4</v>
      </c>
      <c r="F105" s="8">
        <v>1</v>
      </c>
      <c r="G105" s="8">
        <v>1</v>
      </c>
      <c r="H105" s="7">
        <v>1</v>
      </c>
      <c r="I105" s="7">
        <v>1</v>
      </c>
      <c r="J105" s="7" t="s">
        <v>35</v>
      </c>
      <c r="K105" s="7">
        <v>2</v>
      </c>
      <c r="L105" s="7" t="s">
        <v>52</v>
      </c>
      <c r="M105" s="7">
        <f t="shared" si="4"/>
        <v>1</v>
      </c>
      <c r="N105" s="9" t="s">
        <v>34</v>
      </c>
      <c r="O105" s="7">
        <v>0</v>
      </c>
      <c r="P105" s="9" t="s">
        <v>63</v>
      </c>
      <c r="Q105" s="7" t="s">
        <v>38</v>
      </c>
      <c r="R105" s="7" t="s">
        <v>38</v>
      </c>
      <c r="S105" s="7"/>
      <c r="T105" s="7"/>
      <c r="U105" s="7"/>
      <c r="V105" s="7"/>
      <c r="W105" s="7"/>
      <c r="X105" s="7">
        <v>3</v>
      </c>
      <c r="Y105" s="7"/>
      <c r="Z105" s="7"/>
      <c r="AA105" s="7"/>
      <c r="AB105" s="7">
        <f t="shared" si="9"/>
        <v>1</v>
      </c>
      <c r="AC105" s="7">
        <f t="shared" si="6"/>
        <v>1</v>
      </c>
      <c r="AD105" s="7"/>
      <c r="AE105" s="7">
        <v>1</v>
      </c>
      <c r="AF105" s="7"/>
      <c r="AG105" s="7" t="s">
        <v>153</v>
      </c>
      <c r="AH105" s="7"/>
      <c r="AI105" s="7"/>
      <c r="AJ105" s="7"/>
      <c r="AK105" s="7"/>
      <c r="AL105" s="9"/>
      <c r="AM105" s="7" t="s">
        <v>71</v>
      </c>
      <c r="AN105" s="7" t="s">
        <v>71</v>
      </c>
      <c r="AO105" s="12"/>
    </row>
    <row r="106" spans="1:41" s="11" customFormat="1" x14ac:dyDescent="0.25">
      <c r="A106" s="2">
        <v>105</v>
      </c>
      <c r="B106" s="7" t="s">
        <v>151</v>
      </c>
      <c r="C106" s="7" t="s">
        <v>100</v>
      </c>
      <c r="D106" s="7">
        <v>2</v>
      </c>
      <c r="E106" s="7">
        <v>2</v>
      </c>
      <c r="F106" s="8">
        <v>1</v>
      </c>
      <c r="G106" s="8">
        <v>1</v>
      </c>
      <c r="H106" s="7">
        <v>1</v>
      </c>
      <c r="I106" s="7">
        <v>1</v>
      </c>
      <c r="J106" s="7" t="s">
        <v>35</v>
      </c>
      <c r="K106" s="7">
        <v>2</v>
      </c>
      <c r="L106" s="7" t="s">
        <v>52</v>
      </c>
      <c r="M106" s="7">
        <f t="shared" si="4"/>
        <v>1</v>
      </c>
      <c r="N106" s="9" t="s">
        <v>34</v>
      </c>
      <c r="O106" s="7">
        <v>2</v>
      </c>
      <c r="P106" s="9" t="s">
        <v>63</v>
      </c>
      <c r="Q106" s="7" t="s">
        <v>52</v>
      </c>
      <c r="R106" s="7" t="s">
        <v>38</v>
      </c>
      <c r="S106" s="10" t="s">
        <v>1546</v>
      </c>
      <c r="T106" s="7"/>
      <c r="U106" s="7"/>
      <c r="V106" s="7"/>
      <c r="W106" s="7"/>
      <c r="X106" s="7">
        <v>3</v>
      </c>
      <c r="Y106" s="7"/>
      <c r="Z106" s="7"/>
      <c r="AA106" s="7"/>
      <c r="AB106" s="7">
        <f t="shared" si="9"/>
        <v>1</v>
      </c>
      <c r="AC106" s="7">
        <f t="shared" si="6"/>
        <v>1</v>
      </c>
      <c r="AD106" s="7"/>
      <c r="AE106" s="7"/>
      <c r="AF106" s="7"/>
      <c r="AG106" s="7"/>
      <c r="AH106" s="7"/>
      <c r="AI106" s="7"/>
      <c r="AJ106" s="7"/>
      <c r="AK106" s="7"/>
      <c r="AL106" s="9"/>
      <c r="AM106" s="7" t="s">
        <v>71</v>
      </c>
      <c r="AN106" s="7" t="s">
        <v>71</v>
      </c>
      <c r="AO106" s="12"/>
    </row>
    <row r="107" spans="1:41" s="11" customFormat="1" x14ac:dyDescent="0.25">
      <c r="A107" s="2">
        <v>106</v>
      </c>
      <c r="B107" s="7" t="s">
        <v>151</v>
      </c>
      <c r="C107" s="7" t="s">
        <v>89</v>
      </c>
      <c r="D107" s="7" t="s">
        <v>145</v>
      </c>
      <c r="E107" s="7">
        <v>9</v>
      </c>
      <c r="F107" s="8">
        <v>3</v>
      </c>
      <c r="G107" s="8">
        <v>3</v>
      </c>
      <c r="H107" s="7" t="s">
        <v>97</v>
      </c>
      <c r="I107" s="7">
        <v>3</v>
      </c>
      <c r="J107" s="7" t="s">
        <v>70</v>
      </c>
      <c r="K107" s="7">
        <v>1</v>
      </c>
      <c r="L107" s="7" t="s">
        <v>52</v>
      </c>
      <c r="M107" s="7">
        <f t="shared" si="4"/>
        <v>3</v>
      </c>
      <c r="N107" s="9" t="s">
        <v>34</v>
      </c>
      <c r="O107" s="7">
        <v>1</v>
      </c>
      <c r="P107" s="9" t="s">
        <v>33</v>
      </c>
      <c r="Q107" s="7" t="s">
        <v>38</v>
      </c>
      <c r="R107" s="7" t="s">
        <v>38</v>
      </c>
      <c r="S107" s="10" t="s">
        <v>1548</v>
      </c>
      <c r="T107" s="7"/>
      <c r="U107" s="7"/>
      <c r="V107" s="7"/>
      <c r="W107" s="7"/>
      <c r="X107" s="7">
        <v>3</v>
      </c>
      <c r="Y107" s="7"/>
      <c r="Z107" s="7"/>
      <c r="AA107" s="7"/>
      <c r="AB107" s="7">
        <f t="shared" si="9"/>
        <v>1</v>
      </c>
      <c r="AC107" s="7">
        <f t="shared" si="6"/>
        <v>1</v>
      </c>
      <c r="AD107" s="7"/>
      <c r="AE107" s="7"/>
      <c r="AF107" s="7"/>
      <c r="AG107" s="7"/>
      <c r="AH107" s="7"/>
      <c r="AI107" s="7"/>
      <c r="AJ107" s="7"/>
      <c r="AK107" s="7"/>
      <c r="AL107" s="9"/>
      <c r="AM107" s="7" t="s">
        <v>71</v>
      </c>
      <c r="AN107" s="7" t="s">
        <v>71</v>
      </c>
      <c r="AO107" s="12"/>
    </row>
    <row r="108" spans="1:41" s="11" customFormat="1" x14ac:dyDescent="0.25">
      <c r="A108" s="2">
        <v>107</v>
      </c>
      <c r="B108" s="7" t="s">
        <v>49</v>
      </c>
      <c r="C108" s="7" t="s">
        <v>119</v>
      </c>
      <c r="D108" s="7" t="s">
        <v>154</v>
      </c>
      <c r="E108" s="7">
        <v>38</v>
      </c>
      <c r="F108" s="8">
        <v>1</v>
      </c>
      <c r="G108" s="8">
        <v>2</v>
      </c>
      <c r="H108" s="7">
        <v>2</v>
      </c>
      <c r="I108" s="7">
        <v>2</v>
      </c>
      <c r="J108" s="7" t="s">
        <v>1489</v>
      </c>
      <c r="K108" s="7">
        <v>2</v>
      </c>
      <c r="L108" s="7" t="s">
        <v>38</v>
      </c>
      <c r="M108" s="7">
        <f t="shared" si="4"/>
        <v>0</v>
      </c>
      <c r="N108" s="9" t="s">
        <v>36</v>
      </c>
      <c r="O108" s="7">
        <v>0</v>
      </c>
      <c r="P108" s="9" t="s">
        <v>63</v>
      </c>
      <c r="Q108" s="7" t="s">
        <v>38</v>
      </c>
      <c r="R108" s="7" t="s">
        <v>38</v>
      </c>
      <c r="S108" s="10" t="s">
        <v>1549</v>
      </c>
      <c r="T108" s="7"/>
      <c r="U108" s="7"/>
      <c r="V108" s="7"/>
      <c r="W108" s="7"/>
      <c r="X108" s="7">
        <v>3</v>
      </c>
      <c r="Y108" s="7"/>
      <c r="Z108" s="7"/>
      <c r="AA108" s="7"/>
      <c r="AB108" s="7">
        <f t="shared" si="9"/>
        <v>1</v>
      </c>
      <c r="AC108" s="7">
        <f t="shared" si="6"/>
        <v>0</v>
      </c>
      <c r="AD108" s="7"/>
      <c r="AE108" s="7"/>
      <c r="AF108" s="7" t="s">
        <v>40</v>
      </c>
      <c r="AG108" s="7" t="s">
        <v>152</v>
      </c>
      <c r="AH108" s="7"/>
      <c r="AI108" s="7"/>
      <c r="AJ108" s="7"/>
      <c r="AK108" s="7"/>
      <c r="AL108" s="9"/>
      <c r="AM108" s="7" t="s">
        <v>71</v>
      </c>
      <c r="AN108" s="7" t="s">
        <v>71</v>
      </c>
      <c r="AO108" s="7"/>
    </row>
    <row r="109" spans="1:41" s="11" customFormat="1" x14ac:dyDescent="0.25">
      <c r="A109" s="2">
        <v>108</v>
      </c>
      <c r="B109" s="7" t="s">
        <v>49</v>
      </c>
      <c r="C109" s="7" t="s">
        <v>78</v>
      </c>
      <c r="D109" s="7">
        <v>10</v>
      </c>
      <c r="E109" s="7">
        <v>10</v>
      </c>
      <c r="F109" s="8">
        <v>1</v>
      </c>
      <c r="G109" s="8">
        <v>1</v>
      </c>
      <c r="H109" s="7">
        <v>1</v>
      </c>
      <c r="I109" s="7">
        <v>1</v>
      </c>
      <c r="J109" s="7" t="s">
        <v>35</v>
      </c>
      <c r="K109" s="7">
        <v>2</v>
      </c>
      <c r="L109" s="7" t="s">
        <v>52</v>
      </c>
      <c r="M109" s="7">
        <f t="shared" si="4"/>
        <v>1</v>
      </c>
      <c r="N109" s="9" t="s">
        <v>34</v>
      </c>
      <c r="O109" s="7">
        <v>2</v>
      </c>
      <c r="P109" s="9" t="s">
        <v>33</v>
      </c>
      <c r="Q109" s="7" t="s">
        <v>38</v>
      </c>
      <c r="R109" s="7" t="s">
        <v>38</v>
      </c>
      <c r="S109" s="7"/>
      <c r="T109" s="7">
        <v>6</v>
      </c>
      <c r="U109" s="7">
        <v>6</v>
      </c>
      <c r="V109" s="7">
        <v>80</v>
      </c>
      <c r="W109" s="7" t="s">
        <v>88</v>
      </c>
      <c r="X109" s="7"/>
      <c r="Y109" s="7"/>
      <c r="Z109" s="7"/>
      <c r="AA109" s="7"/>
      <c r="AB109" s="7">
        <f t="shared" si="9"/>
        <v>2</v>
      </c>
      <c r="AC109" s="7">
        <f t="shared" si="6"/>
        <v>2</v>
      </c>
      <c r="AD109" s="7"/>
      <c r="AE109" s="7"/>
      <c r="AF109" s="7"/>
      <c r="AG109" s="7"/>
      <c r="AH109" s="7"/>
      <c r="AI109" s="7"/>
      <c r="AJ109" s="7"/>
      <c r="AK109" s="7"/>
      <c r="AL109" s="9"/>
      <c r="AM109" s="7" t="s">
        <v>42</v>
      </c>
      <c r="AN109" s="7" t="s">
        <v>42</v>
      </c>
      <c r="AO109" s="7"/>
    </row>
    <row r="110" spans="1:41" s="11" customFormat="1" x14ac:dyDescent="0.25">
      <c r="A110" s="2">
        <v>109</v>
      </c>
      <c r="B110" s="7" t="s">
        <v>49</v>
      </c>
      <c r="C110" s="7" t="s">
        <v>78</v>
      </c>
      <c r="D110" s="7">
        <v>12</v>
      </c>
      <c r="E110" s="7">
        <v>12</v>
      </c>
      <c r="F110" s="8">
        <v>1</v>
      </c>
      <c r="G110" s="8">
        <v>1</v>
      </c>
      <c r="H110" s="7">
        <v>1</v>
      </c>
      <c r="I110" s="7">
        <v>1</v>
      </c>
      <c r="J110" s="7" t="s">
        <v>77</v>
      </c>
      <c r="K110" s="7">
        <v>2</v>
      </c>
      <c r="L110" s="7" t="s">
        <v>52</v>
      </c>
      <c r="M110" s="7">
        <f t="shared" si="4"/>
        <v>1</v>
      </c>
      <c r="N110" s="9" t="s">
        <v>34</v>
      </c>
      <c r="O110" s="7">
        <v>0</v>
      </c>
      <c r="P110" s="9" t="s">
        <v>63</v>
      </c>
      <c r="Q110" s="7" t="s">
        <v>38</v>
      </c>
      <c r="R110" s="7" t="s">
        <v>38</v>
      </c>
      <c r="S110" s="7">
        <v>19</v>
      </c>
      <c r="T110" s="7">
        <v>19</v>
      </c>
      <c r="U110" s="7">
        <v>19</v>
      </c>
      <c r="V110" s="7">
        <v>90</v>
      </c>
      <c r="W110" s="7" t="s">
        <v>88</v>
      </c>
      <c r="X110" s="7"/>
      <c r="Y110" s="7"/>
      <c r="Z110" s="7"/>
      <c r="AA110" s="7"/>
      <c r="AB110" s="7">
        <f t="shared" si="9"/>
        <v>6.333333333333333</v>
      </c>
      <c r="AC110" s="7">
        <f t="shared" si="6"/>
        <v>6.333333333333333</v>
      </c>
      <c r="AD110" s="7"/>
      <c r="AE110" s="7"/>
      <c r="AF110" s="7"/>
      <c r="AG110" s="7"/>
      <c r="AH110" s="7"/>
      <c r="AI110" s="7"/>
      <c r="AJ110" s="7"/>
      <c r="AK110" s="7"/>
      <c r="AL110" s="9"/>
      <c r="AM110" s="7" t="s">
        <v>42</v>
      </c>
      <c r="AN110" s="7" t="s">
        <v>42</v>
      </c>
      <c r="AO110" s="7" t="s">
        <v>113</v>
      </c>
    </row>
    <row r="111" spans="1:41" s="11" customFormat="1" x14ac:dyDescent="0.25">
      <c r="A111" s="2">
        <v>110</v>
      </c>
      <c r="B111" s="7" t="s">
        <v>49</v>
      </c>
      <c r="C111" s="7" t="s">
        <v>78</v>
      </c>
      <c r="D111" s="7">
        <v>11</v>
      </c>
      <c r="E111" s="7">
        <v>11</v>
      </c>
      <c r="F111" s="8">
        <v>1</v>
      </c>
      <c r="G111" s="8">
        <v>1</v>
      </c>
      <c r="H111" s="7">
        <v>1</v>
      </c>
      <c r="I111" s="7">
        <v>1</v>
      </c>
      <c r="J111" s="7" t="s">
        <v>77</v>
      </c>
      <c r="K111" s="7">
        <v>1</v>
      </c>
      <c r="L111" s="7" t="s">
        <v>52</v>
      </c>
      <c r="M111" s="7">
        <f t="shared" si="4"/>
        <v>1</v>
      </c>
      <c r="N111" s="9" t="s">
        <v>36</v>
      </c>
      <c r="O111" s="7">
        <v>0</v>
      </c>
      <c r="P111" s="9" t="s">
        <v>34</v>
      </c>
      <c r="Q111" s="7" t="s">
        <v>38</v>
      </c>
      <c r="R111" s="7" t="s">
        <v>38</v>
      </c>
      <c r="S111" s="7"/>
      <c r="T111" s="7">
        <v>20</v>
      </c>
      <c r="U111" s="7">
        <v>20</v>
      </c>
      <c r="V111" s="7">
        <v>95</v>
      </c>
      <c r="W111" s="7" t="s">
        <v>88</v>
      </c>
      <c r="X111" s="7"/>
      <c r="Y111" s="7"/>
      <c r="Z111" s="7"/>
      <c r="AA111" s="7"/>
      <c r="AB111" s="7">
        <f t="shared" si="9"/>
        <v>6.666666666666667</v>
      </c>
      <c r="AC111" s="7">
        <f t="shared" si="6"/>
        <v>6.666666666666667</v>
      </c>
      <c r="AD111" s="7"/>
      <c r="AE111" s="7"/>
      <c r="AF111" s="7"/>
      <c r="AG111" s="7"/>
      <c r="AH111" s="7"/>
      <c r="AI111" s="7"/>
      <c r="AJ111" s="7"/>
      <c r="AK111" s="7"/>
      <c r="AL111" s="9"/>
      <c r="AM111" s="7" t="s">
        <v>42</v>
      </c>
      <c r="AN111" s="7" t="s">
        <v>42</v>
      </c>
      <c r="AO111" s="7" t="s">
        <v>113</v>
      </c>
    </row>
    <row r="112" spans="1:41" s="11" customFormat="1" x14ac:dyDescent="0.25">
      <c r="A112" s="2">
        <v>111</v>
      </c>
      <c r="B112" s="7" t="s">
        <v>49</v>
      </c>
      <c r="C112" s="7" t="s">
        <v>78</v>
      </c>
      <c r="D112" s="7">
        <v>1</v>
      </c>
      <c r="E112" s="7">
        <v>1</v>
      </c>
      <c r="F112" s="8">
        <v>1</v>
      </c>
      <c r="G112" s="8">
        <v>1</v>
      </c>
      <c r="H112" s="7">
        <v>1</v>
      </c>
      <c r="I112" s="7">
        <v>1</v>
      </c>
      <c r="J112" s="7" t="s">
        <v>70</v>
      </c>
      <c r="K112" s="7">
        <v>1</v>
      </c>
      <c r="L112" s="7" t="s">
        <v>52</v>
      </c>
      <c r="M112" s="7">
        <f t="shared" si="4"/>
        <v>1</v>
      </c>
      <c r="N112" s="9" t="s">
        <v>36</v>
      </c>
      <c r="O112" s="7">
        <v>0</v>
      </c>
      <c r="P112" s="9" t="s">
        <v>37</v>
      </c>
      <c r="Q112" s="7" t="s">
        <v>38</v>
      </c>
      <c r="R112" s="7" t="s">
        <v>38</v>
      </c>
      <c r="S112" s="7"/>
      <c r="T112" s="7">
        <v>5</v>
      </c>
      <c r="U112" s="7">
        <v>5</v>
      </c>
      <c r="V112" s="7">
        <v>80</v>
      </c>
      <c r="W112" s="7" t="s">
        <v>88</v>
      </c>
      <c r="X112" s="7"/>
      <c r="Y112" s="7"/>
      <c r="Z112" s="7"/>
      <c r="AA112" s="7"/>
      <c r="AB112" s="7">
        <f t="shared" si="9"/>
        <v>1.6666666666666667</v>
      </c>
      <c r="AC112" s="7">
        <f t="shared" si="6"/>
        <v>1.6666666666666667</v>
      </c>
      <c r="AD112" s="7"/>
      <c r="AE112" s="7"/>
      <c r="AF112" s="7"/>
      <c r="AG112" s="7"/>
      <c r="AH112" s="7"/>
      <c r="AI112" s="7"/>
      <c r="AJ112" s="7"/>
      <c r="AK112" s="7"/>
      <c r="AL112" s="9"/>
      <c r="AM112" s="7" t="s">
        <v>71</v>
      </c>
      <c r="AN112" s="7" t="s">
        <v>71</v>
      </c>
      <c r="AO112" s="7"/>
    </row>
    <row r="113" spans="1:41" s="11" customFormat="1" x14ac:dyDescent="0.25">
      <c r="A113" s="2">
        <v>112</v>
      </c>
      <c r="B113" s="7" t="s">
        <v>49</v>
      </c>
      <c r="C113" s="7" t="s">
        <v>100</v>
      </c>
      <c r="D113" s="7">
        <v>34</v>
      </c>
      <c r="E113" s="7">
        <v>34</v>
      </c>
      <c r="F113" s="8">
        <v>1</v>
      </c>
      <c r="G113" s="8">
        <v>1</v>
      </c>
      <c r="H113" s="7">
        <v>1</v>
      </c>
      <c r="I113" s="7">
        <v>1</v>
      </c>
      <c r="J113" s="7" t="s">
        <v>77</v>
      </c>
      <c r="K113" s="7">
        <v>1</v>
      </c>
      <c r="L113" s="7" t="s">
        <v>38</v>
      </c>
      <c r="M113" s="7">
        <f t="shared" si="4"/>
        <v>0</v>
      </c>
      <c r="N113" s="9" t="s">
        <v>82</v>
      </c>
      <c r="O113" s="7">
        <v>0</v>
      </c>
      <c r="P113" s="9" t="s">
        <v>36</v>
      </c>
      <c r="Q113" s="7" t="s">
        <v>38</v>
      </c>
      <c r="R113" s="7" t="s">
        <v>38</v>
      </c>
      <c r="S113" s="10" t="s">
        <v>1550</v>
      </c>
      <c r="T113" s="7"/>
      <c r="U113" s="7"/>
      <c r="V113" s="7"/>
      <c r="W113" s="7"/>
      <c r="X113" s="7">
        <v>3</v>
      </c>
      <c r="Y113" s="7"/>
      <c r="Z113" s="7"/>
      <c r="AA113" s="7"/>
      <c r="AB113" s="7">
        <f t="shared" si="9"/>
        <v>1</v>
      </c>
      <c r="AC113" s="7">
        <f t="shared" si="6"/>
        <v>0</v>
      </c>
      <c r="AD113" s="7"/>
      <c r="AE113" s="7">
        <v>1</v>
      </c>
      <c r="AF113" s="7" t="s">
        <v>155</v>
      </c>
      <c r="AG113" s="7" t="s">
        <v>156</v>
      </c>
      <c r="AH113" s="7"/>
      <c r="AI113" s="7"/>
      <c r="AJ113" s="7"/>
      <c r="AK113" s="7"/>
      <c r="AL113" s="9"/>
      <c r="AM113" s="7" t="s">
        <v>71</v>
      </c>
      <c r="AN113" s="7" t="s">
        <v>71</v>
      </c>
      <c r="AO113" s="7"/>
    </row>
    <row r="114" spans="1:41" s="11" customFormat="1" ht="24" x14ac:dyDescent="0.25">
      <c r="A114" s="2">
        <v>113</v>
      </c>
      <c r="B114" s="7" t="s">
        <v>49</v>
      </c>
      <c r="C114" s="7" t="s">
        <v>89</v>
      </c>
      <c r="D114" s="7" t="s">
        <v>157</v>
      </c>
      <c r="E114" s="7">
        <v>38</v>
      </c>
      <c r="F114" s="8">
        <v>1</v>
      </c>
      <c r="G114" s="8">
        <v>2</v>
      </c>
      <c r="H114" s="7" t="s">
        <v>87</v>
      </c>
      <c r="I114" s="7">
        <v>2</v>
      </c>
      <c r="J114" s="7" t="s">
        <v>35</v>
      </c>
      <c r="K114" s="7">
        <v>2</v>
      </c>
      <c r="L114" s="7" t="s">
        <v>52</v>
      </c>
      <c r="M114" s="7">
        <f t="shared" si="4"/>
        <v>1</v>
      </c>
      <c r="N114" s="9" t="s">
        <v>36</v>
      </c>
      <c r="O114" s="7">
        <v>1</v>
      </c>
      <c r="P114" s="9" t="s">
        <v>33</v>
      </c>
      <c r="Q114" s="7" t="s">
        <v>38</v>
      </c>
      <c r="R114" s="7" t="s">
        <v>38</v>
      </c>
      <c r="S114" s="10" t="s">
        <v>1551</v>
      </c>
      <c r="T114" s="7"/>
      <c r="U114" s="7"/>
      <c r="V114" s="7"/>
      <c r="W114" s="7"/>
      <c r="X114" s="7">
        <v>3</v>
      </c>
      <c r="Y114" s="7"/>
      <c r="Z114" s="7"/>
      <c r="AA114" s="7"/>
      <c r="AB114" s="7">
        <f t="shared" si="9"/>
        <v>1</v>
      </c>
      <c r="AC114" s="7">
        <f t="shared" si="6"/>
        <v>1</v>
      </c>
      <c r="AD114" s="7"/>
      <c r="AE114" s="7">
        <v>2</v>
      </c>
      <c r="AF114" s="7"/>
      <c r="AG114" s="7" t="s">
        <v>158</v>
      </c>
      <c r="AH114" s="7"/>
      <c r="AI114" s="7"/>
      <c r="AJ114" s="7"/>
      <c r="AK114" s="7"/>
      <c r="AL114" s="9"/>
      <c r="AM114" s="7" t="s">
        <v>71</v>
      </c>
      <c r="AN114" s="7" t="s">
        <v>71</v>
      </c>
      <c r="AO114" s="12"/>
    </row>
    <row r="115" spans="1:41" s="11" customFormat="1" x14ac:dyDescent="0.25">
      <c r="A115" s="2">
        <v>114</v>
      </c>
      <c r="B115" s="7" t="s">
        <v>49</v>
      </c>
      <c r="C115" s="7" t="s">
        <v>89</v>
      </c>
      <c r="D115" s="7" t="s">
        <v>159</v>
      </c>
      <c r="E115" s="7">
        <v>6</v>
      </c>
      <c r="F115" s="8">
        <v>2</v>
      </c>
      <c r="G115" s="8">
        <v>2</v>
      </c>
      <c r="H115" s="7" t="s">
        <v>87</v>
      </c>
      <c r="I115" s="7">
        <v>2</v>
      </c>
      <c r="J115" s="7" t="s">
        <v>70</v>
      </c>
      <c r="K115" s="7">
        <v>1</v>
      </c>
      <c r="L115" s="7" t="s">
        <v>52</v>
      </c>
      <c r="M115" s="7">
        <f t="shared" si="4"/>
        <v>2</v>
      </c>
      <c r="N115" s="9" t="s">
        <v>36</v>
      </c>
      <c r="O115" s="7">
        <v>0</v>
      </c>
      <c r="P115" s="9" t="s">
        <v>33</v>
      </c>
      <c r="Q115" s="7" t="s">
        <v>38</v>
      </c>
      <c r="R115" s="7" t="s">
        <v>38</v>
      </c>
      <c r="S115" s="10" t="s">
        <v>1552</v>
      </c>
      <c r="T115" s="7"/>
      <c r="U115" s="7"/>
      <c r="V115" s="7"/>
      <c r="W115" s="7"/>
      <c r="X115" s="7">
        <v>3</v>
      </c>
      <c r="Y115" s="7"/>
      <c r="Z115" s="7"/>
      <c r="AA115" s="7"/>
      <c r="AB115" s="7">
        <f t="shared" si="9"/>
        <v>1</v>
      </c>
      <c r="AC115" s="7">
        <f t="shared" si="6"/>
        <v>1</v>
      </c>
      <c r="AD115" s="7"/>
      <c r="AE115" s="7"/>
      <c r="AF115" s="7"/>
      <c r="AG115" s="7"/>
      <c r="AH115" s="7"/>
      <c r="AI115" s="7"/>
      <c r="AJ115" s="7"/>
      <c r="AK115" s="7"/>
      <c r="AL115" s="9"/>
      <c r="AM115" s="7" t="s">
        <v>71</v>
      </c>
      <c r="AN115" s="7" t="s">
        <v>71</v>
      </c>
      <c r="AO115" s="12"/>
    </row>
    <row r="116" spans="1:41" s="11" customFormat="1" x14ac:dyDescent="0.25">
      <c r="A116" s="2">
        <v>115</v>
      </c>
      <c r="B116" s="7" t="s">
        <v>49</v>
      </c>
      <c r="C116" s="7" t="s">
        <v>89</v>
      </c>
      <c r="D116" s="7" t="s">
        <v>160</v>
      </c>
      <c r="E116" s="7">
        <v>9</v>
      </c>
      <c r="F116" s="8">
        <v>2</v>
      </c>
      <c r="G116" s="8">
        <v>2</v>
      </c>
      <c r="H116" s="7" t="s">
        <v>87</v>
      </c>
      <c r="I116" s="7">
        <v>2</v>
      </c>
      <c r="J116" s="7" t="s">
        <v>77</v>
      </c>
      <c r="K116" s="7">
        <v>1</v>
      </c>
      <c r="L116" s="7" t="s">
        <v>38</v>
      </c>
      <c r="M116" s="7">
        <f t="shared" si="4"/>
        <v>0</v>
      </c>
      <c r="N116" s="9" t="s">
        <v>34</v>
      </c>
      <c r="O116" s="7">
        <v>0</v>
      </c>
      <c r="P116" s="9" t="s">
        <v>34</v>
      </c>
      <c r="Q116" s="7" t="s">
        <v>38</v>
      </c>
      <c r="R116" s="7" t="s">
        <v>38</v>
      </c>
      <c r="S116" s="10" t="s">
        <v>1553</v>
      </c>
      <c r="T116" s="7"/>
      <c r="U116" s="7"/>
      <c r="V116" s="7"/>
      <c r="W116" s="7"/>
      <c r="X116" s="7">
        <v>3</v>
      </c>
      <c r="Y116" s="7"/>
      <c r="Z116" s="7"/>
      <c r="AA116" s="7"/>
      <c r="AB116" s="7">
        <f t="shared" si="9"/>
        <v>1</v>
      </c>
      <c r="AC116" s="7">
        <f t="shared" si="6"/>
        <v>0</v>
      </c>
      <c r="AD116" s="7"/>
      <c r="AE116" s="7"/>
      <c r="AF116" s="7"/>
      <c r="AG116" s="7"/>
      <c r="AH116" s="7"/>
      <c r="AI116" s="7"/>
      <c r="AJ116" s="7"/>
      <c r="AK116" s="7"/>
      <c r="AL116" s="9"/>
      <c r="AM116" s="7" t="s">
        <v>71</v>
      </c>
      <c r="AN116" s="7" t="s">
        <v>71</v>
      </c>
      <c r="AO116" s="12"/>
    </row>
    <row r="117" spans="1:41" s="11" customFormat="1" x14ac:dyDescent="0.25">
      <c r="A117" s="2">
        <v>116</v>
      </c>
      <c r="B117" s="7" t="s">
        <v>49</v>
      </c>
      <c r="C117" s="7" t="s">
        <v>119</v>
      </c>
      <c r="D117" s="7">
        <v>5</v>
      </c>
      <c r="E117" s="7">
        <v>5</v>
      </c>
      <c r="F117" s="8">
        <v>1</v>
      </c>
      <c r="G117" s="8">
        <v>1</v>
      </c>
      <c r="H117" s="7">
        <v>1</v>
      </c>
      <c r="I117" s="7">
        <v>1</v>
      </c>
      <c r="J117" s="7" t="s">
        <v>35</v>
      </c>
      <c r="K117" s="7">
        <v>2</v>
      </c>
      <c r="L117" s="7" t="s">
        <v>52</v>
      </c>
      <c r="M117" s="7">
        <f t="shared" si="4"/>
        <v>1</v>
      </c>
      <c r="N117" s="9" t="s">
        <v>37</v>
      </c>
      <c r="O117" s="7">
        <v>3</v>
      </c>
      <c r="P117" s="9" t="s">
        <v>63</v>
      </c>
      <c r="Q117" s="7"/>
      <c r="R117" s="7" t="s">
        <v>38</v>
      </c>
      <c r="S117" s="7" t="s">
        <v>161</v>
      </c>
      <c r="T117" s="7"/>
      <c r="U117" s="7"/>
      <c r="V117" s="7"/>
      <c r="W117" s="7"/>
      <c r="X117" s="7"/>
      <c r="Y117" s="7"/>
      <c r="Z117" s="7"/>
      <c r="AA117" s="7"/>
      <c r="AB117" s="7">
        <v>0.33333333333333298</v>
      </c>
      <c r="AC117" s="7">
        <f t="shared" si="6"/>
        <v>0.33333333333333298</v>
      </c>
      <c r="AD117" s="7"/>
      <c r="AE117" s="7"/>
      <c r="AF117" s="7" t="s">
        <v>40</v>
      </c>
      <c r="AG117" s="7" t="s">
        <v>162</v>
      </c>
      <c r="AH117" s="7"/>
      <c r="AI117" s="7"/>
      <c r="AJ117" s="7"/>
      <c r="AK117" s="7"/>
      <c r="AL117" s="9"/>
      <c r="AM117" s="7" t="s">
        <v>71</v>
      </c>
      <c r="AN117" s="7" t="s">
        <v>71</v>
      </c>
      <c r="AO117" s="7"/>
    </row>
    <row r="118" spans="1:41" s="11" customFormat="1" x14ac:dyDescent="0.25">
      <c r="A118" s="2">
        <v>117</v>
      </c>
      <c r="B118" s="7" t="s">
        <v>49</v>
      </c>
      <c r="C118" s="7" t="s">
        <v>104</v>
      </c>
      <c r="D118" s="7">
        <v>9</v>
      </c>
      <c r="E118" s="7">
        <v>9</v>
      </c>
      <c r="F118" s="8">
        <v>1</v>
      </c>
      <c r="G118" s="8">
        <v>1</v>
      </c>
      <c r="H118" s="7">
        <v>1</v>
      </c>
      <c r="I118" s="7">
        <v>1</v>
      </c>
      <c r="J118" s="7" t="s">
        <v>35</v>
      </c>
      <c r="K118" s="7">
        <v>2</v>
      </c>
      <c r="L118" s="7" t="s">
        <v>52</v>
      </c>
      <c r="M118" s="7">
        <f t="shared" si="4"/>
        <v>1</v>
      </c>
      <c r="N118" s="9" t="s">
        <v>34</v>
      </c>
      <c r="O118" s="7">
        <v>1</v>
      </c>
      <c r="P118" s="9" t="s">
        <v>33</v>
      </c>
      <c r="Q118" s="7" t="s">
        <v>38</v>
      </c>
      <c r="R118" s="7" t="s">
        <v>38</v>
      </c>
      <c r="S118" s="7"/>
      <c r="T118" s="7"/>
      <c r="U118" s="7"/>
      <c r="V118" s="7"/>
      <c r="W118" s="7"/>
      <c r="X118" s="7">
        <v>3</v>
      </c>
      <c r="Y118" s="7"/>
      <c r="Z118" s="7"/>
      <c r="AA118" s="7"/>
      <c r="AB118" s="7">
        <f>(U118+X118+Z118)/3</f>
        <v>1</v>
      </c>
      <c r="AC118" s="7">
        <f t="shared" si="6"/>
        <v>1</v>
      </c>
      <c r="AD118" s="7"/>
      <c r="AE118" s="7">
        <v>1</v>
      </c>
      <c r="AF118" s="7" t="s">
        <v>40</v>
      </c>
      <c r="AG118" s="7"/>
      <c r="AH118" s="7"/>
      <c r="AI118" s="7"/>
      <c r="AJ118" s="7"/>
      <c r="AK118" s="7"/>
      <c r="AL118" s="9"/>
      <c r="AM118" s="7" t="s">
        <v>71</v>
      </c>
      <c r="AN118" s="7" t="s">
        <v>71</v>
      </c>
      <c r="AO118" s="7"/>
    </row>
    <row r="119" spans="1:41" s="11" customFormat="1" x14ac:dyDescent="0.25">
      <c r="A119" s="2">
        <v>118</v>
      </c>
      <c r="B119" s="7" t="s">
        <v>49</v>
      </c>
      <c r="C119" s="7" t="s">
        <v>89</v>
      </c>
      <c r="D119" s="7" t="s">
        <v>163</v>
      </c>
      <c r="E119" s="7">
        <v>17</v>
      </c>
      <c r="F119" s="8">
        <v>1</v>
      </c>
      <c r="G119" s="8">
        <v>2</v>
      </c>
      <c r="H119" s="7">
        <v>2</v>
      </c>
      <c r="I119" s="7">
        <v>2</v>
      </c>
      <c r="J119" s="7" t="s">
        <v>35</v>
      </c>
      <c r="K119" s="7">
        <v>2</v>
      </c>
      <c r="L119" s="7" t="s">
        <v>52</v>
      </c>
      <c r="M119" s="7">
        <f t="shared" si="4"/>
        <v>1</v>
      </c>
      <c r="N119" s="9" t="s">
        <v>34</v>
      </c>
      <c r="O119" s="7">
        <v>0</v>
      </c>
      <c r="P119" s="9" t="s">
        <v>36</v>
      </c>
      <c r="Q119" s="7" t="s">
        <v>38</v>
      </c>
      <c r="R119" s="7" t="s">
        <v>38</v>
      </c>
      <c r="S119" s="10" t="s">
        <v>1522</v>
      </c>
      <c r="T119" s="7"/>
      <c r="U119" s="7"/>
      <c r="V119" s="7"/>
      <c r="W119" s="7"/>
      <c r="X119" s="7">
        <v>3</v>
      </c>
      <c r="Y119" s="7"/>
      <c r="Z119" s="7"/>
      <c r="AA119" s="7"/>
      <c r="AB119" s="7">
        <f>(U119+X119+Z119)/3</f>
        <v>1</v>
      </c>
      <c r="AC119" s="7">
        <f t="shared" si="6"/>
        <v>1</v>
      </c>
      <c r="AD119" s="7"/>
      <c r="AE119" s="7">
        <v>1</v>
      </c>
      <c r="AF119" s="7"/>
      <c r="AG119" s="7" t="s">
        <v>164</v>
      </c>
      <c r="AH119" s="7"/>
      <c r="AI119" s="7"/>
      <c r="AJ119" s="7"/>
      <c r="AK119" s="7"/>
      <c r="AL119" s="9"/>
      <c r="AM119" s="7" t="s">
        <v>71</v>
      </c>
      <c r="AN119" s="7" t="s">
        <v>71</v>
      </c>
      <c r="AO119" s="7"/>
    </row>
    <row r="120" spans="1:41" s="11" customFormat="1" x14ac:dyDescent="0.25">
      <c r="A120" s="2">
        <v>119</v>
      </c>
      <c r="B120" s="7" t="s">
        <v>49</v>
      </c>
      <c r="C120" s="7" t="s">
        <v>100</v>
      </c>
      <c r="D120" s="7">
        <v>4</v>
      </c>
      <c r="E120" s="7">
        <v>4</v>
      </c>
      <c r="F120" s="8">
        <v>1</v>
      </c>
      <c r="G120" s="8">
        <v>1</v>
      </c>
      <c r="H120" s="7">
        <v>1</v>
      </c>
      <c r="I120" s="7">
        <v>1</v>
      </c>
      <c r="J120" s="7" t="s">
        <v>77</v>
      </c>
      <c r="K120" s="7">
        <v>1</v>
      </c>
      <c r="L120" s="7" t="s">
        <v>38</v>
      </c>
      <c r="M120" s="7">
        <f t="shared" si="4"/>
        <v>0</v>
      </c>
      <c r="N120" s="9" t="s">
        <v>34</v>
      </c>
      <c r="O120" s="7">
        <v>0</v>
      </c>
      <c r="P120" s="9" t="s">
        <v>36</v>
      </c>
      <c r="Q120" s="7" t="s">
        <v>38</v>
      </c>
      <c r="R120" s="7" t="s">
        <v>38</v>
      </c>
      <c r="S120" s="10" t="s">
        <v>1554</v>
      </c>
      <c r="T120" s="7"/>
      <c r="U120" s="7"/>
      <c r="V120" s="7"/>
      <c r="W120" s="7"/>
      <c r="X120" s="7">
        <v>3</v>
      </c>
      <c r="Y120" s="7"/>
      <c r="Z120" s="7"/>
      <c r="AA120" s="7"/>
      <c r="AB120" s="7">
        <f>(U120+X120+Z120)/3</f>
        <v>1</v>
      </c>
      <c r="AC120" s="7">
        <f t="shared" si="6"/>
        <v>0</v>
      </c>
      <c r="AD120" s="7"/>
      <c r="AE120" s="7"/>
      <c r="AF120" s="7"/>
      <c r="AG120" s="7"/>
      <c r="AH120" s="7"/>
      <c r="AI120" s="7"/>
      <c r="AJ120" s="7"/>
      <c r="AK120" s="7"/>
      <c r="AL120" s="9"/>
      <c r="AM120" s="7" t="s">
        <v>71</v>
      </c>
      <c r="AN120" s="7" t="s">
        <v>71</v>
      </c>
      <c r="AO120" s="12"/>
    </row>
    <row r="121" spans="1:41" s="11" customFormat="1" x14ac:dyDescent="0.25">
      <c r="A121" s="2">
        <v>120</v>
      </c>
      <c r="B121" s="7" t="s">
        <v>49</v>
      </c>
      <c r="C121" s="7" t="s">
        <v>100</v>
      </c>
      <c r="D121" s="7">
        <v>4</v>
      </c>
      <c r="E121" s="7">
        <v>4</v>
      </c>
      <c r="F121" s="8">
        <v>1</v>
      </c>
      <c r="G121" s="8">
        <v>1</v>
      </c>
      <c r="H121" s="7">
        <v>1</v>
      </c>
      <c r="I121" s="7">
        <v>1</v>
      </c>
      <c r="J121" s="7" t="s">
        <v>35</v>
      </c>
      <c r="K121" s="7">
        <v>2</v>
      </c>
      <c r="L121" s="7" t="s">
        <v>52</v>
      </c>
      <c r="M121" s="7">
        <f t="shared" si="4"/>
        <v>1</v>
      </c>
      <c r="N121" s="9" t="s">
        <v>36</v>
      </c>
      <c r="O121" s="7">
        <v>0</v>
      </c>
      <c r="P121" s="9" t="s">
        <v>37</v>
      </c>
      <c r="Q121" s="7" t="s">
        <v>52</v>
      </c>
      <c r="R121" s="7" t="s">
        <v>38</v>
      </c>
      <c r="S121" s="7"/>
      <c r="T121" s="7"/>
      <c r="U121" s="7"/>
      <c r="V121" s="7"/>
      <c r="W121" s="7"/>
      <c r="X121" s="7">
        <v>3</v>
      </c>
      <c r="Y121" s="7"/>
      <c r="Z121" s="7"/>
      <c r="AA121" s="7"/>
      <c r="AB121" s="7">
        <f>(U121+X121+Z121)/3</f>
        <v>1</v>
      </c>
      <c r="AC121" s="7">
        <f t="shared" si="6"/>
        <v>1</v>
      </c>
      <c r="AD121" s="7"/>
      <c r="AE121" s="7"/>
      <c r="AF121" s="7"/>
      <c r="AG121" s="7"/>
      <c r="AH121" s="7"/>
      <c r="AI121" s="7"/>
      <c r="AJ121" s="7"/>
      <c r="AK121" s="7"/>
      <c r="AL121" s="9"/>
      <c r="AM121" s="7" t="s">
        <v>71</v>
      </c>
      <c r="AN121" s="7" t="s">
        <v>71</v>
      </c>
      <c r="AO121" s="7"/>
    </row>
    <row r="122" spans="1:41" s="11" customFormat="1" x14ac:dyDescent="0.25">
      <c r="A122" s="2">
        <v>121</v>
      </c>
      <c r="B122" s="7" t="s">
        <v>49</v>
      </c>
      <c r="C122" s="7" t="s">
        <v>119</v>
      </c>
      <c r="D122" s="7">
        <v>26</v>
      </c>
      <c r="E122" s="7">
        <v>26</v>
      </c>
      <c r="F122" s="8">
        <v>1</v>
      </c>
      <c r="G122" s="8">
        <v>1</v>
      </c>
      <c r="H122" s="7">
        <v>1</v>
      </c>
      <c r="I122" s="7">
        <v>1</v>
      </c>
      <c r="J122" s="7" t="s">
        <v>35</v>
      </c>
      <c r="K122" s="7">
        <v>2</v>
      </c>
      <c r="L122" s="7" t="s">
        <v>52</v>
      </c>
      <c r="M122" s="7">
        <f t="shared" si="4"/>
        <v>1</v>
      </c>
      <c r="N122" s="9" t="s">
        <v>36</v>
      </c>
      <c r="O122" s="7">
        <v>0</v>
      </c>
      <c r="P122" s="9" t="s">
        <v>37</v>
      </c>
      <c r="Q122" s="7"/>
      <c r="R122" s="7" t="s">
        <v>38</v>
      </c>
      <c r="S122" s="7" t="s">
        <v>165</v>
      </c>
      <c r="T122" s="7"/>
      <c r="U122" s="7"/>
      <c r="V122" s="7"/>
      <c r="W122" s="7"/>
      <c r="X122" s="7"/>
      <c r="Y122" s="7"/>
      <c r="Z122" s="7"/>
      <c r="AA122" s="7"/>
      <c r="AB122" s="7">
        <v>0.33333333333333298</v>
      </c>
      <c r="AC122" s="7">
        <f t="shared" si="6"/>
        <v>0.33333333333333298</v>
      </c>
      <c r="AD122" s="7">
        <v>1</v>
      </c>
      <c r="AE122" s="7"/>
      <c r="AF122" s="7" t="s">
        <v>40</v>
      </c>
      <c r="AG122" s="7" t="s">
        <v>138</v>
      </c>
      <c r="AH122" s="7"/>
      <c r="AI122" s="7"/>
      <c r="AJ122" s="7"/>
      <c r="AK122" s="7"/>
      <c r="AL122" s="9"/>
      <c r="AM122" s="7" t="s">
        <v>71</v>
      </c>
      <c r="AN122" s="7" t="s">
        <v>71</v>
      </c>
      <c r="AO122" s="7"/>
    </row>
    <row r="123" spans="1:41" s="11" customFormat="1" x14ac:dyDescent="0.25">
      <c r="A123" s="2">
        <v>122</v>
      </c>
      <c r="B123" s="7" t="s">
        <v>49</v>
      </c>
      <c r="C123" s="7" t="s">
        <v>104</v>
      </c>
      <c r="D123" s="7">
        <v>10</v>
      </c>
      <c r="E123" s="7">
        <v>10</v>
      </c>
      <c r="F123" s="8">
        <v>1</v>
      </c>
      <c r="G123" s="8">
        <v>1</v>
      </c>
      <c r="H123" s="7">
        <v>1</v>
      </c>
      <c r="I123" s="7">
        <v>1</v>
      </c>
      <c r="J123" s="7" t="s">
        <v>77</v>
      </c>
      <c r="K123" s="7">
        <v>1</v>
      </c>
      <c r="L123" s="7" t="s">
        <v>38</v>
      </c>
      <c r="M123" s="7">
        <f t="shared" si="4"/>
        <v>0</v>
      </c>
      <c r="N123" s="9" t="s">
        <v>82</v>
      </c>
      <c r="O123" s="7">
        <v>0</v>
      </c>
      <c r="P123" s="9" t="s">
        <v>34</v>
      </c>
      <c r="Q123" s="7" t="s">
        <v>38</v>
      </c>
      <c r="R123" s="7" t="s">
        <v>38</v>
      </c>
      <c r="S123" s="10" t="s">
        <v>1555</v>
      </c>
      <c r="T123" s="7"/>
      <c r="U123" s="7"/>
      <c r="V123" s="7"/>
      <c r="W123" s="7"/>
      <c r="X123" s="7"/>
      <c r="Y123" s="7"/>
      <c r="Z123" s="7"/>
      <c r="AA123" s="7"/>
      <c r="AB123" s="7">
        <v>0.33333333333333298</v>
      </c>
      <c r="AC123" s="7">
        <f t="shared" si="6"/>
        <v>0</v>
      </c>
      <c r="AD123" s="7"/>
      <c r="AE123" s="7">
        <v>1</v>
      </c>
      <c r="AF123" s="7" t="s">
        <v>40</v>
      </c>
      <c r="AG123" s="7" t="s">
        <v>152</v>
      </c>
      <c r="AH123" s="7"/>
      <c r="AI123" s="7"/>
      <c r="AJ123" s="7"/>
      <c r="AK123" s="7"/>
      <c r="AL123" s="9"/>
      <c r="AM123" s="7" t="s">
        <v>71</v>
      </c>
      <c r="AN123" s="7" t="s">
        <v>71</v>
      </c>
      <c r="AO123" s="7"/>
    </row>
    <row r="124" spans="1:41" s="11" customFormat="1" ht="24" x14ac:dyDescent="0.25">
      <c r="A124" s="2">
        <v>123</v>
      </c>
      <c r="B124" s="7" t="s">
        <v>49</v>
      </c>
      <c r="C124" s="7" t="s">
        <v>78</v>
      </c>
      <c r="D124" s="7">
        <v>3</v>
      </c>
      <c r="E124" s="7">
        <v>3</v>
      </c>
      <c r="F124" s="8">
        <v>1</v>
      </c>
      <c r="G124" s="8">
        <v>1</v>
      </c>
      <c r="H124" s="7">
        <v>1</v>
      </c>
      <c r="I124" s="7">
        <v>1</v>
      </c>
      <c r="J124" s="7" t="s">
        <v>35</v>
      </c>
      <c r="K124" s="7">
        <v>1</v>
      </c>
      <c r="L124" s="7" t="s">
        <v>52</v>
      </c>
      <c r="M124" s="7">
        <f t="shared" si="4"/>
        <v>1</v>
      </c>
      <c r="N124" s="9" t="s">
        <v>36</v>
      </c>
      <c r="O124" s="7">
        <v>0</v>
      </c>
      <c r="P124" s="9" t="s">
        <v>37</v>
      </c>
      <c r="Q124" s="7" t="s">
        <v>38</v>
      </c>
      <c r="R124" s="7" t="s">
        <v>38</v>
      </c>
      <c r="S124" s="7"/>
      <c r="T124" s="7">
        <v>5</v>
      </c>
      <c r="U124" s="7">
        <v>5</v>
      </c>
      <c r="V124" s="7">
        <v>120</v>
      </c>
      <c r="W124" s="7" t="s">
        <v>166</v>
      </c>
      <c r="X124" s="7"/>
      <c r="Y124" s="7"/>
      <c r="Z124" s="7"/>
      <c r="AA124" s="7"/>
      <c r="AB124" s="7">
        <f t="shared" ref="AB124:AB155" si="10">(U124+X124+Z124)/3</f>
        <v>1.6666666666666667</v>
      </c>
      <c r="AC124" s="7">
        <f t="shared" si="6"/>
        <v>1.6666666666666667</v>
      </c>
      <c r="AD124" s="7"/>
      <c r="AE124" s="7"/>
      <c r="AF124" s="7"/>
      <c r="AG124" s="7"/>
      <c r="AH124" s="7"/>
      <c r="AI124" s="7"/>
      <c r="AJ124" s="7"/>
      <c r="AK124" s="7"/>
      <c r="AL124" s="9"/>
      <c r="AM124" s="7" t="s">
        <v>71</v>
      </c>
      <c r="AN124" s="7" t="s">
        <v>71</v>
      </c>
      <c r="AO124" s="7"/>
    </row>
    <row r="125" spans="1:41" s="11" customFormat="1" x14ac:dyDescent="0.25">
      <c r="A125" s="2">
        <v>124</v>
      </c>
      <c r="B125" s="7" t="s">
        <v>49</v>
      </c>
      <c r="C125" s="7" t="s">
        <v>100</v>
      </c>
      <c r="D125" s="7">
        <v>11</v>
      </c>
      <c r="E125" s="7">
        <v>11</v>
      </c>
      <c r="F125" s="8">
        <v>1</v>
      </c>
      <c r="G125" s="8">
        <v>1</v>
      </c>
      <c r="H125" s="7">
        <v>1</v>
      </c>
      <c r="I125" s="7">
        <v>1</v>
      </c>
      <c r="J125" s="7" t="s">
        <v>35</v>
      </c>
      <c r="K125" s="7">
        <v>2</v>
      </c>
      <c r="L125" s="7" t="s">
        <v>52</v>
      </c>
      <c r="M125" s="7">
        <f t="shared" si="4"/>
        <v>1</v>
      </c>
      <c r="N125" s="9" t="s">
        <v>34</v>
      </c>
      <c r="O125" s="7">
        <v>0</v>
      </c>
      <c r="P125" s="9" t="s">
        <v>33</v>
      </c>
      <c r="Q125" s="7" t="s">
        <v>38</v>
      </c>
      <c r="R125" s="7" t="s">
        <v>38</v>
      </c>
      <c r="S125" s="7"/>
      <c r="T125" s="7"/>
      <c r="U125" s="7"/>
      <c r="V125" s="7"/>
      <c r="W125" s="7"/>
      <c r="X125" s="7">
        <v>3</v>
      </c>
      <c r="Y125" s="7"/>
      <c r="Z125" s="7"/>
      <c r="AA125" s="7"/>
      <c r="AB125" s="7">
        <f t="shared" si="10"/>
        <v>1</v>
      </c>
      <c r="AC125" s="7">
        <f t="shared" si="6"/>
        <v>1</v>
      </c>
      <c r="AD125" s="7"/>
      <c r="AE125" s="7"/>
      <c r="AF125" s="7"/>
      <c r="AG125" s="7"/>
      <c r="AH125" s="7"/>
      <c r="AI125" s="7"/>
      <c r="AJ125" s="7"/>
      <c r="AK125" s="7" t="s">
        <v>167</v>
      </c>
      <c r="AL125" s="9"/>
      <c r="AM125" s="7" t="s">
        <v>71</v>
      </c>
      <c r="AN125" s="7" t="s">
        <v>71</v>
      </c>
      <c r="AO125" s="12"/>
    </row>
    <row r="126" spans="1:41" s="11" customFormat="1" x14ac:dyDescent="0.25">
      <c r="A126" s="2">
        <v>125</v>
      </c>
      <c r="B126" s="7" t="s">
        <v>49</v>
      </c>
      <c r="C126" s="7" t="s">
        <v>89</v>
      </c>
      <c r="D126" s="7" t="s">
        <v>168</v>
      </c>
      <c r="E126" s="7">
        <v>3</v>
      </c>
      <c r="F126" s="8">
        <v>2</v>
      </c>
      <c r="G126" s="8">
        <v>3</v>
      </c>
      <c r="H126" s="7" t="s">
        <v>97</v>
      </c>
      <c r="I126" s="7">
        <v>3</v>
      </c>
      <c r="J126" s="7" t="s">
        <v>77</v>
      </c>
      <c r="K126" s="7">
        <v>1</v>
      </c>
      <c r="L126" s="7" t="s">
        <v>38</v>
      </c>
      <c r="M126" s="7">
        <f t="shared" si="4"/>
        <v>0</v>
      </c>
      <c r="N126" s="9" t="s">
        <v>36</v>
      </c>
      <c r="O126" s="7">
        <v>0</v>
      </c>
      <c r="P126" s="9" t="s">
        <v>63</v>
      </c>
      <c r="Q126" s="7" t="s">
        <v>38</v>
      </c>
      <c r="R126" s="7" t="s">
        <v>38</v>
      </c>
      <c r="S126" s="10" t="s">
        <v>169</v>
      </c>
      <c r="T126" s="7"/>
      <c r="U126" s="7"/>
      <c r="V126" s="7"/>
      <c r="W126" s="7"/>
      <c r="X126" s="7">
        <v>3</v>
      </c>
      <c r="Y126" s="7"/>
      <c r="Z126" s="7"/>
      <c r="AA126" s="7"/>
      <c r="AB126" s="7">
        <f t="shared" si="10"/>
        <v>1</v>
      </c>
      <c r="AC126" s="7">
        <f t="shared" si="6"/>
        <v>0</v>
      </c>
      <c r="AD126" s="7"/>
      <c r="AE126" s="7"/>
      <c r="AF126" s="7"/>
      <c r="AG126" s="7"/>
      <c r="AH126" s="7"/>
      <c r="AI126" s="7"/>
      <c r="AJ126" s="7"/>
      <c r="AK126" s="7"/>
      <c r="AL126" s="9"/>
      <c r="AM126" s="7" t="s">
        <v>71</v>
      </c>
      <c r="AN126" s="7" t="s">
        <v>71</v>
      </c>
      <c r="AO126" s="12"/>
    </row>
    <row r="127" spans="1:41" s="11" customFormat="1" x14ac:dyDescent="0.25">
      <c r="A127" s="2">
        <v>126</v>
      </c>
      <c r="B127" s="7" t="s">
        <v>49</v>
      </c>
      <c r="C127" s="7" t="s">
        <v>89</v>
      </c>
      <c r="D127" s="7" t="s">
        <v>170</v>
      </c>
      <c r="E127" s="7">
        <v>5</v>
      </c>
      <c r="F127" s="8">
        <v>1</v>
      </c>
      <c r="G127" s="8">
        <v>5</v>
      </c>
      <c r="H127" s="7" t="s">
        <v>171</v>
      </c>
      <c r="I127" s="7">
        <v>5</v>
      </c>
      <c r="J127" s="7" t="s">
        <v>35</v>
      </c>
      <c r="K127" s="7">
        <v>2</v>
      </c>
      <c r="L127" s="7" t="s">
        <v>52</v>
      </c>
      <c r="M127" s="7">
        <f t="shared" si="4"/>
        <v>1</v>
      </c>
      <c r="N127" s="9" t="s">
        <v>34</v>
      </c>
      <c r="O127" s="7">
        <v>0</v>
      </c>
      <c r="P127" s="9" t="s">
        <v>63</v>
      </c>
      <c r="Q127" s="7" t="s">
        <v>38</v>
      </c>
      <c r="R127" s="7" t="s">
        <v>38</v>
      </c>
      <c r="S127" s="10" t="s">
        <v>1556</v>
      </c>
      <c r="T127" s="7"/>
      <c r="U127" s="7"/>
      <c r="V127" s="7"/>
      <c r="W127" s="7"/>
      <c r="X127" s="7">
        <v>3</v>
      </c>
      <c r="Y127" s="7"/>
      <c r="Z127" s="7"/>
      <c r="AA127" s="7"/>
      <c r="AB127" s="7">
        <f t="shared" si="10"/>
        <v>1</v>
      </c>
      <c r="AC127" s="7">
        <f t="shared" si="6"/>
        <v>1</v>
      </c>
      <c r="AD127" s="7"/>
      <c r="AE127" s="7"/>
      <c r="AF127" s="7"/>
      <c r="AG127" s="7"/>
      <c r="AH127" s="7"/>
      <c r="AI127" s="7"/>
      <c r="AJ127" s="7"/>
      <c r="AK127" s="7"/>
      <c r="AL127" s="9"/>
      <c r="AM127" s="7" t="s">
        <v>71</v>
      </c>
      <c r="AN127" s="7" t="s">
        <v>71</v>
      </c>
      <c r="AO127" s="12"/>
    </row>
    <row r="128" spans="1:41" s="11" customFormat="1" x14ac:dyDescent="0.25">
      <c r="A128" s="2">
        <v>127</v>
      </c>
      <c r="B128" s="7" t="s">
        <v>49</v>
      </c>
      <c r="C128" s="7" t="s">
        <v>50</v>
      </c>
      <c r="D128" s="7">
        <v>78</v>
      </c>
      <c r="E128" s="7">
        <v>78</v>
      </c>
      <c r="F128" s="8">
        <v>1</v>
      </c>
      <c r="G128" s="8">
        <v>2</v>
      </c>
      <c r="H128" s="7">
        <v>2</v>
      </c>
      <c r="I128" s="7">
        <v>2</v>
      </c>
      <c r="J128" s="7" t="s">
        <v>35</v>
      </c>
      <c r="K128" s="7">
        <v>2</v>
      </c>
      <c r="L128" s="7" t="s">
        <v>52</v>
      </c>
      <c r="M128" s="7">
        <f t="shared" si="4"/>
        <v>1</v>
      </c>
      <c r="N128" s="9" t="s">
        <v>34</v>
      </c>
      <c r="O128" s="7">
        <v>0</v>
      </c>
      <c r="P128" s="9" t="s">
        <v>33</v>
      </c>
      <c r="Q128" s="7" t="s">
        <v>38</v>
      </c>
      <c r="R128" s="7" t="s">
        <v>38</v>
      </c>
      <c r="S128" s="10" t="s">
        <v>1557</v>
      </c>
      <c r="T128" s="7"/>
      <c r="U128" s="7"/>
      <c r="V128" s="7"/>
      <c r="W128" s="7"/>
      <c r="X128" s="7"/>
      <c r="Y128" s="7">
        <v>35</v>
      </c>
      <c r="Z128" s="7">
        <v>35</v>
      </c>
      <c r="AA128" s="7">
        <v>95</v>
      </c>
      <c r="AB128" s="7">
        <f t="shared" si="10"/>
        <v>11.666666666666666</v>
      </c>
      <c r="AC128" s="7">
        <f t="shared" si="6"/>
        <v>11.666666666666666</v>
      </c>
      <c r="AD128" s="7"/>
      <c r="AE128" s="7"/>
      <c r="AF128" s="7"/>
      <c r="AG128" s="7"/>
      <c r="AH128" s="7"/>
      <c r="AI128" s="7"/>
      <c r="AJ128" s="7" t="s">
        <v>172</v>
      </c>
      <c r="AK128" s="7"/>
      <c r="AL128" s="9"/>
      <c r="AM128" s="7" t="s">
        <v>173</v>
      </c>
      <c r="AN128" s="7" t="s">
        <v>2849</v>
      </c>
      <c r="AO128" s="10" t="s">
        <v>2519</v>
      </c>
    </row>
    <row r="129" spans="1:41" s="11" customFormat="1" ht="24" x14ac:dyDescent="0.25">
      <c r="A129" s="2">
        <v>128</v>
      </c>
      <c r="B129" s="7" t="s">
        <v>57</v>
      </c>
      <c r="C129" s="7" t="s">
        <v>174</v>
      </c>
      <c r="D129" s="7" t="s">
        <v>175</v>
      </c>
      <c r="E129" s="7">
        <v>40</v>
      </c>
      <c r="F129" s="8">
        <v>1</v>
      </c>
      <c r="G129" s="8">
        <v>2</v>
      </c>
      <c r="H129" s="7" t="s">
        <v>87</v>
      </c>
      <c r="I129" s="7">
        <v>2</v>
      </c>
      <c r="J129" s="7" t="s">
        <v>176</v>
      </c>
      <c r="K129" s="7">
        <v>6</v>
      </c>
      <c r="L129" s="7" t="s">
        <v>52</v>
      </c>
      <c r="M129" s="7">
        <f t="shared" si="4"/>
        <v>1</v>
      </c>
      <c r="N129" s="9" t="s">
        <v>177</v>
      </c>
      <c r="O129" s="7">
        <v>0</v>
      </c>
      <c r="P129" s="9" t="s">
        <v>63</v>
      </c>
      <c r="Q129" s="7" t="s">
        <v>38</v>
      </c>
      <c r="R129" s="7" t="s">
        <v>52</v>
      </c>
      <c r="S129" s="7" t="s">
        <v>178</v>
      </c>
      <c r="T129" s="7">
        <v>5</v>
      </c>
      <c r="U129" s="7">
        <v>5</v>
      </c>
      <c r="V129" s="7">
        <v>210</v>
      </c>
      <c r="W129" s="7" t="s">
        <v>179</v>
      </c>
      <c r="X129" s="7">
        <v>3</v>
      </c>
      <c r="Y129" s="7"/>
      <c r="Z129" s="7"/>
      <c r="AA129" s="7"/>
      <c r="AB129" s="7">
        <f t="shared" si="10"/>
        <v>2.6666666666666665</v>
      </c>
      <c r="AC129" s="7">
        <f t="shared" si="6"/>
        <v>2.6666666666666665</v>
      </c>
      <c r="AD129" s="7"/>
      <c r="AE129" s="7"/>
      <c r="AF129" s="7"/>
      <c r="AG129" s="7"/>
      <c r="AH129" s="7"/>
      <c r="AI129" s="7"/>
      <c r="AJ129" s="7"/>
      <c r="AK129" s="7"/>
      <c r="AL129" s="9"/>
      <c r="AM129" s="7" t="s">
        <v>71</v>
      </c>
      <c r="AN129" s="7" t="s">
        <v>71</v>
      </c>
      <c r="AO129" s="7"/>
    </row>
    <row r="130" spans="1:41" s="11" customFormat="1" x14ac:dyDescent="0.25">
      <c r="A130" s="2">
        <v>129</v>
      </c>
      <c r="B130" s="7" t="s">
        <v>180</v>
      </c>
      <c r="C130" s="7" t="s">
        <v>100</v>
      </c>
      <c r="D130" s="7">
        <v>48</v>
      </c>
      <c r="E130" s="7">
        <v>48</v>
      </c>
      <c r="F130" s="8">
        <v>1</v>
      </c>
      <c r="G130" s="8">
        <v>1</v>
      </c>
      <c r="H130" s="7">
        <v>1</v>
      </c>
      <c r="I130" s="7">
        <v>1</v>
      </c>
      <c r="J130" s="7" t="s">
        <v>176</v>
      </c>
      <c r="K130" s="7">
        <v>6</v>
      </c>
      <c r="L130" s="7" t="s">
        <v>52</v>
      </c>
      <c r="M130" s="7">
        <f t="shared" ref="M130:M193" si="11">IF(L130="n",F130,0)</f>
        <v>1</v>
      </c>
      <c r="N130" s="9" t="s">
        <v>177</v>
      </c>
      <c r="O130" s="7">
        <v>0</v>
      </c>
      <c r="P130" s="9" t="s">
        <v>63</v>
      </c>
      <c r="Q130" s="7" t="s">
        <v>38</v>
      </c>
      <c r="R130" s="7" t="s">
        <v>52</v>
      </c>
      <c r="S130" s="7" t="s">
        <v>181</v>
      </c>
      <c r="T130" s="7"/>
      <c r="U130" s="7"/>
      <c r="V130" s="7"/>
      <c r="W130" s="7"/>
      <c r="X130" s="7">
        <v>3</v>
      </c>
      <c r="Y130" s="7"/>
      <c r="Z130" s="7"/>
      <c r="AA130" s="7"/>
      <c r="AB130" s="7">
        <f t="shared" si="10"/>
        <v>1</v>
      </c>
      <c r="AC130" s="7">
        <f t="shared" ref="AC130:AC193" si="12">IF(L130="n",AB130,0)</f>
        <v>1</v>
      </c>
      <c r="AD130" s="7"/>
      <c r="AE130" s="7"/>
      <c r="AF130" s="7"/>
      <c r="AG130" s="7"/>
      <c r="AH130" s="7"/>
      <c r="AI130" s="10" t="s">
        <v>2303</v>
      </c>
      <c r="AJ130" s="7"/>
      <c r="AK130" s="7"/>
      <c r="AL130" s="9"/>
      <c r="AM130" s="7" t="s">
        <v>71</v>
      </c>
      <c r="AN130" s="7" t="s">
        <v>71</v>
      </c>
      <c r="AO130" s="10" t="s">
        <v>2520</v>
      </c>
    </row>
    <row r="131" spans="1:41" s="11" customFormat="1" x14ac:dyDescent="0.25">
      <c r="A131" s="2">
        <v>130</v>
      </c>
      <c r="B131" s="7" t="s">
        <v>182</v>
      </c>
      <c r="C131" s="7" t="s">
        <v>78</v>
      </c>
      <c r="D131" s="7">
        <v>46</v>
      </c>
      <c r="E131" s="7">
        <v>46</v>
      </c>
      <c r="F131" s="8">
        <v>1</v>
      </c>
      <c r="G131" s="8">
        <v>1</v>
      </c>
      <c r="H131" s="7">
        <v>1</v>
      </c>
      <c r="I131" s="7">
        <v>1</v>
      </c>
      <c r="J131" s="7" t="s">
        <v>176</v>
      </c>
      <c r="K131" s="7">
        <v>6</v>
      </c>
      <c r="L131" s="7" t="s">
        <v>52</v>
      </c>
      <c r="M131" s="7">
        <f t="shared" si="11"/>
        <v>1</v>
      </c>
      <c r="N131" s="9" t="s">
        <v>177</v>
      </c>
      <c r="O131" s="7">
        <v>0</v>
      </c>
      <c r="P131" s="9" t="s">
        <v>63</v>
      </c>
      <c r="Q131" s="7" t="s">
        <v>38</v>
      </c>
      <c r="R131" s="7" t="s">
        <v>52</v>
      </c>
      <c r="S131" s="10" t="s">
        <v>183</v>
      </c>
      <c r="T131" s="7">
        <v>12</v>
      </c>
      <c r="U131" s="7">
        <v>12</v>
      </c>
      <c r="V131" s="7">
        <v>150</v>
      </c>
      <c r="W131" s="7" t="s">
        <v>184</v>
      </c>
      <c r="X131" s="7"/>
      <c r="Y131" s="7"/>
      <c r="Z131" s="7"/>
      <c r="AA131" s="7"/>
      <c r="AB131" s="7">
        <f t="shared" si="10"/>
        <v>4</v>
      </c>
      <c r="AC131" s="7">
        <f t="shared" si="12"/>
        <v>4</v>
      </c>
      <c r="AD131" s="7"/>
      <c r="AE131" s="7"/>
      <c r="AF131" s="7"/>
      <c r="AG131" s="7"/>
      <c r="AH131" s="7"/>
      <c r="AI131" s="7"/>
      <c r="AJ131" s="7"/>
      <c r="AK131" s="7"/>
      <c r="AL131" s="9"/>
      <c r="AM131" s="7" t="s">
        <v>185</v>
      </c>
      <c r="AN131" s="7" t="s">
        <v>662</v>
      </c>
      <c r="AO131" s="10" t="s">
        <v>2521</v>
      </c>
    </row>
    <row r="132" spans="1:41" s="11" customFormat="1" x14ac:dyDescent="0.25">
      <c r="A132" s="2">
        <v>131</v>
      </c>
      <c r="B132" s="7" t="s">
        <v>43</v>
      </c>
      <c r="C132" s="7" t="s">
        <v>50</v>
      </c>
      <c r="D132" s="7">
        <v>27</v>
      </c>
      <c r="E132" s="7">
        <v>27</v>
      </c>
      <c r="F132" s="8">
        <v>1</v>
      </c>
      <c r="G132" s="8">
        <v>1</v>
      </c>
      <c r="H132" s="7">
        <v>1</v>
      </c>
      <c r="I132" s="7">
        <v>1</v>
      </c>
      <c r="J132" s="7" t="s">
        <v>176</v>
      </c>
      <c r="K132" s="7">
        <v>3</v>
      </c>
      <c r="L132" s="7" t="s">
        <v>52</v>
      </c>
      <c r="M132" s="7">
        <f t="shared" si="11"/>
        <v>1</v>
      </c>
      <c r="N132" s="9" t="s">
        <v>109</v>
      </c>
      <c r="O132" s="7">
        <v>0</v>
      </c>
      <c r="P132" s="9" t="s">
        <v>63</v>
      </c>
      <c r="Q132" s="7" t="s">
        <v>38</v>
      </c>
      <c r="R132" s="7" t="s">
        <v>52</v>
      </c>
      <c r="S132" s="10" t="s">
        <v>209</v>
      </c>
      <c r="T132" s="7"/>
      <c r="U132" s="7"/>
      <c r="V132" s="7"/>
      <c r="W132" s="7"/>
      <c r="X132" s="7"/>
      <c r="Y132" s="7">
        <v>10</v>
      </c>
      <c r="Z132" s="7">
        <v>10</v>
      </c>
      <c r="AA132" s="7" t="s">
        <v>76</v>
      </c>
      <c r="AB132" s="7">
        <f t="shared" si="10"/>
        <v>3.3333333333333335</v>
      </c>
      <c r="AC132" s="7">
        <f t="shared" si="12"/>
        <v>3.3333333333333335</v>
      </c>
      <c r="AD132" s="7"/>
      <c r="AE132" s="7"/>
      <c r="AF132" s="7"/>
      <c r="AG132" s="7"/>
      <c r="AH132" s="7"/>
      <c r="AI132" s="7"/>
      <c r="AJ132" s="7"/>
      <c r="AK132" s="7"/>
      <c r="AL132" s="9"/>
      <c r="AM132" s="7" t="s">
        <v>71</v>
      </c>
      <c r="AN132" s="7" t="s">
        <v>71</v>
      </c>
      <c r="AO132" s="12"/>
    </row>
    <row r="133" spans="1:41" s="11" customFormat="1" x14ac:dyDescent="0.25">
      <c r="A133" s="2">
        <v>132</v>
      </c>
      <c r="B133" s="7" t="s">
        <v>43</v>
      </c>
      <c r="C133" s="7" t="s">
        <v>50</v>
      </c>
      <c r="D133" s="7">
        <v>13</v>
      </c>
      <c r="E133" s="7">
        <v>13</v>
      </c>
      <c r="F133" s="8">
        <v>1</v>
      </c>
      <c r="G133" s="8">
        <v>1</v>
      </c>
      <c r="H133" s="7">
        <v>1</v>
      </c>
      <c r="I133" s="7">
        <v>1</v>
      </c>
      <c r="J133" s="7" t="s">
        <v>176</v>
      </c>
      <c r="K133" s="7">
        <v>3</v>
      </c>
      <c r="L133" s="7" t="s">
        <v>52</v>
      </c>
      <c r="M133" s="7">
        <f t="shared" si="11"/>
        <v>1</v>
      </c>
      <c r="N133" s="9" t="s">
        <v>177</v>
      </c>
      <c r="O133" s="7">
        <v>0</v>
      </c>
      <c r="P133" s="9" t="s">
        <v>63</v>
      </c>
      <c r="Q133" s="7" t="s">
        <v>38</v>
      </c>
      <c r="R133" s="7" t="s">
        <v>52</v>
      </c>
      <c r="S133" s="10" t="s">
        <v>1558</v>
      </c>
      <c r="T133" s="7"/>
      <c r="U133" s="7"/>
      <c r="V133" s="7"/>
      <c r="W133" s="7"/>
      <c r="X133" s="7"/>
      <c r="Y133" s="7">
        <v>9</v>
      </c>
      <c r="Z133" s="7">
        <v>9</v>
      </c>
      <c r="AA133" s="7">
        <v>130</v>
      </c>
      <c r="AB133" s="7">
        <f t="shared" si="10"/>
        <v>3</v>
      </c>
      <c r="AC133" s="7">
        <f t="shared" si="12"/>
        <v>3</v>
      </c>
      <c r="AD133" s="7"/>
      <c r="AE133" s="7"/>
      <c r="AF133" s="7"/>
      <c r="AG133" s="7"/>
      <c r="AH133" s="7"/>
      <c r="AI133" s="7"/>
      <c r="AJ133" s="7"/>
      <c r="AK133" s="7"/>
      <c r="AL133" s="9"/>
      <c r="AM133" s="7" t="s">
        <v>71</v>
      </c>
      <c r="AN133" s="7" t="s">
        <v>71</v>
      </c>
      <c r="AO133" s="12"/>
    </row>
    <row r="134" spans="1:41" s="11" customFormat="1" x14ac:dyDescent="0.25">
      <c r="A134" s="2">
        <v>133</v>
      </c>
      <c r="B134" s="7" t="s">
        <v>57</v>
      </c>
      <c r="C134" s="7" t="s">
        <v>50</v>
      </c>
      <c r="D134" s="7">
        <v>11</v>
      </c>
      <c r="E134" s="7">
        <v>11</v>
      </c>
      <c r="F134" s="8">
        <v>1</v>
      </c>
      <c r="G134" s="8">
        <v>1</v>
      </c>
      <c r="H134" s="7">
        <v>1</v>
      </c>
      <c r="I134" s="7">
        <v>1</v>
      </c>
      <c r="J134" s="7" t="s">
        <v>176</v>
      </c>
      <c r="K134" s="7">
        <v>3</v>
      </c>
      <c r="L134" s="7" t="s">
        <v>52</v>
      </c>
      <c r="M134" s="7">
        <f t="shared" si="11"/>
        <v>1</v>
      </c>
      <c r="N134" s="9" t="s">
        <v>177</v>
      </c>
      <c r="O134" s="7">
        <v>0</v>
      </c>
      <c r="P134" s="9" t="s">
        <v>63</v>
      </c>
      <c r="Q134" s="7" t="s">
        <v>38</v>
      </c>
      <c r="R134" s="7" t="s">
        <v>52</v>
      </c>
      <c r="S134" s="10" t="s">
        <v>1559</v>
      </c>
      <c r="T134" s="7"/>
      <c r="U134" s="7"/>
      <c r="V134" s="7"/>
      <c r="W134" s="7"/>
      <c r="X134" s="7"/>
      <c r="Y134" s="7" t="s">
        <v>92</v>
      </c>
      <c r="Z134" s="7">
        <v>3</v>
      </c>
      <c r="AA134" s="7" t="s">
        <v>76</v>
      </c>
      <c r="AB134" s="7">
        <f t="shared" si="10"/>
        <v>1</v>
      </c>
      <c r="AC134" s="7">
        <f t="shared" si="12"/>
        <v>1</v>
      </c>
      <c r="AD134" s="7"/>
      <c r="AE134" s="7"/>
      <c r="AF134" s="7"/>
      <c r="AG134" s="7"/>
      <c r="AH134" s="7"/>
      <c r="AI134" s="7"/>
      <c r="AJ134" s="7"/>
      <c r="AK134" s="7"/>
      <c r="AL134" s="9"/>
      <c r="AM134" s="7" t="s">
        <v>71</v>
      </c>
      <c r="AN134" s="7" t="s">
        <v>71</v>
      </c>
      <c r="AO134" s="10" t="s">
        <v>2522</v>
      </c>
    </row>
    <row r="135" spans="1:41" s="11" customFormat="1" ht="24" x14ac:dyDescent="0.25">
      <c r="A135" s="2">
        <v>134</v>
      </c>
      <c r="B135" s="7" t="s">
        <v>186</v>
      </c>
      <c r="C135" s="7" t="s">
        <v>107</v>
      </c>
      <c r="D135" s="7" t="s">
        <v>187</v>
      </c>
      <c r="E135" s="7">
        <v>176</v>
      </c>
      <c r="F135" s="8">
        <v>1</v>
      </c>
      <c r="G135" s="9" t="s">
        <v>188</v>
      </c>
      <c r="H135" s="7">
        <v>4</v>
      </c>
      <c r="I135" s="7">
        <v>4</v>
      </c>
      <c r="J135" s="7" t="s">
        <v>176</v>
      </c>
      <c r="K135" s="7" t="s">
        <v>189</v>
      </c>
      <c r="L135" s="7" t="s">
        <v>52</v>
      </c>
      <c r="M135" s="7">
        <f t="shared" si="11"/>
        <v>1</v>
      </c>
      <c r="N135" s="9" t="s">
        <v>177</v>
      </c>
      <c r="O135" s="7">
        <v>0</v>
      </c>
      <c r="P135" s="9" t="s">
        <v>63</v>
      </c>
      <c r="Q135" s="7" t="s">
        <v>38</v>
      </c>
      <c r="R135" s="7" t="s">
        <v>38</v>
      </c>
      <c r="S135" s="10" t="s">
        <v>1560</v>
      </c>
      <c r="T135" s="7"/>
      <c r="U135" s="7"/>
      <c r="V135" s="7"/>
      <c r="W135" s="7"/>
      <c r="X135" s="7"/>
      <c r="Y135" s="7">
        <v>100</v>
      </c>
      <c r="Z135" s="7">
        <v>100</v>
      </c>
      <c r="AA135" s="7">
        <v>96</v>
      </c>
      <c r="AB135" s="7">
        <f t="shared" si="10"/>
        <v>33.333333333333336</v>
      </c>
      <c r="AC135" s="7">
        <f t="shared" si="12"/>
        <v>33.333333333333336</v>
      </c>
      <c r="AD135" s="7"/>
      <c r="AE135" s="7"/>
      <c r="AF135" s="7"/>
      <c r="AG135" s="7"/>
      <c r="AH135" s="7"/>
      <c r="AI135" s="7"/>
      <c r="AJ135" s="7"/>
      <c r="AK135" s="7"/>
      <c r="AL135" s="9" t="s">
        <v>38</v>
      </c>
      <c r="AM135" s="7" t="s">
        <v>137</v>
      </c>
      <c r="AN135" s="7" t="s">
        <v>2848</v>
      </c>
      <c r="AO135" s="10" t="s">
        <v>2523</v>
      </c>
    </row>
    <row r="136" spans="1:41" s="11" customFormat="1" ht="24" x14ac:dyDescent="0.25">
      <c r="A136" s="2">
        <v>135</v>
      </c>
      <c r="B136" s="7" t="s">
        <v>190</v>
      </c>
      <c r="C136" s="7" t="s">
        <v>89</v>
      </c>
      <c r="D136" s="7" t="s">
        <v>191</v>
      </c>
      <c r="E136" s="7">
        <f>40+23+13+6+1</f>
        <v>83</v>
      </c>
      <c r="F136" s="8">
        <v>1</v>
      </c>
      <c r="G136" s="9" t="s">
        <v>192</v>
      </c>
      <c r="H136" s="7" t="s">
        <v>193</v>
      </c>
      <c r="I136" s="7">
        <v>10</v>
      </c>
      <c r="J136" s="7" t="s">
        <v>176</v>
      </c>
      <c r="K136" s="7" t="s">
        <v>189</v>
      </c>
      <c r="L136" s="7" t="s">
        <v>52</v>
      </c>
      <c r="M136" s="7">
        <f t="shared" si="11"/>
        <v>1</v>
      </c>
      <c r="N136" s="9" t="s">
        <v>109</v>
      </c>
      <c r="O136" s="7">
        <v>0</v>
      </c>
      <c r="P136" s="9" t="s">
        <v>63</v>
      </c>
      <c r="Q136" s="7" t="s">
        <v>38</v>
      </c>
      <c r="R136" s="7" t="s">
        <v>38</v>
      </c>
      <c r="S136" s="10" t="s">
        <v>1561</v>
      </c>
      <c r="T136" s="7"/>
      <c r="U136" s="7"/>
      <c r="V136" s="7"/>
      <c r="W136" s="7"/>
      <c r="X136" s="7">
        <v>5</v>
      </c>
      <c r="Y136" s="7"/>
      <c r="Z136" s="7"/>
      <c r="AA136" s="7"/>
      <c r="AB136" s="7">
        <f t="shared" si="10"/>
        <v>1.6666666666666667</v>
      </c>
      <c r="AC136" s="7">
        <f t="shared" si="12"/>
        <v>1.6666666666666667</v>
      </c>
      <c r="AD136" s="7"/>
      <c r="AE136" s="7">
        <v>1</v>
      </c>
      <c r="AF136" s="7" t="s">
        <v>40</v>
      </c>
      <c r="AG136" s="7"/>
      <c r="AH136" s="7"/>
      <c r="AI136" s="7"/>
      <c r="AJ136" s="7"/>
      <c r="AK136" s="7"/>
      <c r="AL136" s="9"/>
      <c r="AM136" s="7" t="s">
        <v>194</v>
      </c>
      <c r="AN136" s="7" t="s">
        <v>2848</v>
      </c>
      <c r="AO136" s="7"/>
    </row>
    <row r="137" spans="1:41" s="11" customFormat="1" x14ac:dyDescent="0.25">
      <c r="A137" s="2">
        <v>136</v>
      </c>
      <c r="B137" s="7" t="s">
        <v>69</v>
      </c>
      <c r="C137" s="7" t="s">
        <v>89</v>
      </c>
      <c r="D137" s="7" t="s">
        <v>195</v>
      </c>
      <c r="E137" s="7">
        <v>8</v>
      </c>
      <c r="F137" s="8">
        <v>1</v>
      </c>
      <c r="G137" s="9" t="s">
        <v>196</v>
      </c>
      <c r="H137" s="7" t="s">
        <v>87</v>
      </c>
      <c r="I137" s="7">
        <v>2</v>
      </c>
      <c r="J137" s="7" t="s">
        <v>176</v>
      </c>
      <c r="K137" s="7" t="s">
        <v>189</v>
      </c>
      <c r="L137" s="7" t="s">
        <v>52</v>
      </c>
      <c r="M137" s="7">
        <f t="shared" si="11"/>
        <v>1</v>
      </c>
      <c r="N137" s="9" t="s">
        <v>109</v>
      </c>
      <c r="O137" s="7">
        <v>0</v>
      </c>
      <c r="P137" s="9" t="s">
        <v>63</v>
      </c>
      <c r="Q137" s="7" t="s">
        <v>38</v>
      </c>
      <c r="R137" s="7" t="s">
        <v>38</v>
      </c>
      <c r="S137" s="10" t="s">
        <v>1562</v>
      </c>
      <c r="T137" s="7"/>
      <c r="U137" s="7"/>
      <c r="V137" s="7"/>
      <c r="W137" s="7"/>
      <c r="X137" s="7">
        <v>3</v>
      </c>
      <c r="Y137" s="7"/>
      <c r="Z137" s="7"/>
      <c r="AA137" s="7"/>
      <c r="AB137" s="7">
        <f t="shared" si="10"/>
        <v>1</v>
      </c>
      <c r="AC137" s="7">
        <f t="shared" si="12"/>
        <v>1</v>
      </c>
      <c r="AD137" s="7"/>
      <c r="AE137" s="7"/>
      <c r="AF137" s="7"/>
      <c r="AG137" s="7"/>
      <c r="AH137" s="7"/>
      <c r="AI137" s="7"/>
      <c r="AJ137" s="7"/>
      <c r="AK137" s="7"/>
      <c r="AL137" s="9"/>
      <c r="AM137" s="7" t="s">
        <v>71</v>
      </c>
      <c r="AN137" s="7" t="s">
        <v>71</v>
      </c>
      <c r="AO137" s="10" t="s">
        <v>2524</v>
      </c>
    </row>
    <row r="138" spans="1:41" s="11" customFormat="1" ht="48" x14ac:dyDescent="0.25">
      <c r="A138" s="2">
        <v>137</v>
      </c>
      <c r="B138" s="7" t="s">
        <v>103</v>
      </c>
      <c r="C138" s="7" t="s">
        <v>78</v>
      </c>
      <c r="D138" s="7">
        <v>18</v>
      </c>
      <c r="E138" s="7">
        <v>18</v>
      </c>
      <c r="F138" s="8">
        <v>1</v>
      </c>
      <c r="G138" s="8">
        <v>1</v>
      </c>
      <c r="H138" s="7">
        <v>1</v>
      </c>
      <c r="I138" s="7">
        <v>1</v>
      </c>
      <c r="J138" s="7" t="s">
        <v>176</v>
      </c>
      <c r="K138" s="7" t="s">
        <v>189</v>
      </c>
      <c r="L138" s="7" t="s">
        <v>52</v>
      </c>
      <c r="M138" s="7">
        <f t="shared" si="11"/>
        <v>1</v>
      </c>
      <c r="N138" s="9" t="s">
        <v>177</v>
      </c>
      <c r="O138" s="7">
        <v>0</v>
      </c>
      <c r="P138" s="9" t="s">
        <v>63</v>
      </c>
      <c r="Q138" s="7" t="s">
        <v>38</v>
      </c>
      <c r="R138" s="7" t="s">
        <v>38</v>
      </c>
      <c r="S138" s="10" t="s">
        <v>1563</v>
      </c>
      <c r="T138" s="7">
        <v>5</v>
      </c>
      <c r="U138" s="7">
        <v>5</v>
      </c>
      <c r="V138" s="7">
        <v>230</v>
      </c>
      <c r="W138" s="7" t="s">
        <v>197</v>
      </c>
      <c r="X138" s="7"/>
      <c r="Y138" s="7"/>
      <c r="Z138" s="7"/>
      <c r="AA138" s="7"/>
      <c r="AB138" s="7">
        <f t="shared" si="10"/>
        <v>1.6666666666666667</v>
      </c>
      <c r="AC138" s="7">
        <f t="shared" si="12"/>
        <v>1.6666666666666667</v>
      </c>
      <c r="AD138" s="7"/>
      <c r="AE138" s="7"/>
      <c r="AF138" s="7"/>
      <c r="AG138" s="7"/>
      <c r="AH138" s="7"/>
      <c r="AI138" s="7"/>
      <c r="AJ138" s="7"/>
      <c r="AK138" s="7"/>
      <c r="AL138" s="9"/>
      <c r="AM138" s="7" t="s">
        <v>198</v>
      </c>
      <c r="AN138" s="7" t="s">
        <v>2850</v>
      </c>
      <c r="AO138" s="7"/>
    </row>
    <row r="139" spans="1:41" s="11" customFormat="1" x14ac:dyDescent="0.25">
      <c r="A139" s="2">
        <v>138</v>
      </c>
      <c r="B139" s="7" t="s">
        <v>49</v>
      </c>
      <c r="C139" s="7" t="s">
        <v>50</v>
      </c>
      <c r="D139" s="7">
        <v>15</v>
      </c>
      <c r="E139" s="7">
        <v>15</v>
      </c>
      <c r="F139" s="8">
        <v>1</v>
      </c>
      <c r="G139" s="8">
        <v>1</v>
      </c>
      <c r="H139" s="7">
        <v>1</v>
      </c>
      <c r="I139" s="7">
        <v>1</v>
      </c>
      <c r="J139" s="7" t="s">
        <v>176</v>
      </c>
      <c r="K139" s="7" t="s">
        <v>189</v>
      </c>
      <c r="L139" s="7" t="s">
        <v>52</v>
      </c>
      <c r="M139" s="7">
        <f t="shared" si="11"/>
        <v>1</v>
      </c>
      <c r="N139" s="9" t="s">
        <v>177</v>
      </c>
      <c r="O139" s="7">
        <v>0</v>
      </c>
      <c r="P139" s="9" t="s">
        <v>63</v>
      </c>
      <c r="Q139" s="7" t="s">
        <v>38</v>
      </c>
      <c r="R139" s="7" t="s">
        <v>52</v>
      </c>
      <c r="S139" s="10" t="s">
        <v>1564</v>
      </c>
      <c r="T139" s="7"/>
      <c r="U139" s="7"/>
      <c r="V139" s="7"/>
      <c r="W139" s="7"/>
      <c r="X139" s="7"/>
      <c r="Y139" s="7">
        <v>5</v>
      </c>
      <c r="Z139" s="7">
        <v>5</v>
      </c>
      <c r="AA139" s="7" t="s">
        <v>76</v>
      </c>
      <c r="AB139" s="7">
        <f t="shared" si="10"/>
        <v>1.6666666666666667</v>
      </c>
      <c r="AC139" s="7">
        <f t="shared" si="12"/>
        <v>1.6666666666666667</v>
      </c>
      <c r="AD139" s="7"/>
      <c r="AE139" s="7"/>
      <c r="AF139" s="7"/>
      <c r="AG139" s="7"/>
      <c r="AH139" s="7"/>
      <c r="AI139" s="7"/>
      <c r="AJ139" s="7"/>
      <c r="AK139" s="7"/>
      <c r="AL139" s="9"/>
      <c r="AM139" s="7" t="s">
        <v>71</v>
      </c>
      <c r="AN139" s="7" t="s">
        <v>71</v>
      </c>
      <c r="AO139" s="12"/>
    </row>
    <row r="140" spans="1:41" s="11" customFormat="1" x14ac:dyDescent="0.25">
      <c r="A140" s="2">
        <v>139</v>
      </c>
      <c r="B140" s="7" t="s">
        <v>73</v>
      </c>
      <c r="C140" s="7" t="s">
        <v>50</v>
      </c>
      <c r="D140" s="7">
        <v>28</v>
      </c>
      <c r="E140" s="7">
        <v>28</v>
      </c>
      <c r="F140" s="8">
        <v>1</v>
      </c>
      <c r="G140" s="8">
        <v>1</v>
      </c>
      <c r="H140" s="7">
        <v>1</v>
      </c>
      <c r="I140" s="7">
        <v>1</v>
      </c>
      <c r="J140" s="7" t="s">
        <v>176</v>
      </c>
      <c r="K140" s="7" t="s">
        <v>189</v>
      </c>
      <c r="L140" s="7" t="s">
        <v>52</v>
      </c>
      <c r="M140" s="7">
        <f t="shared" si="11"/>
        <v>1</v>
      </c>
      <c r="N140" s="9" t="s">
        <v>177</v>
      </c>
      <c r="O140" s="7">
        <v>0</v>
      </c>
      <c r="P140" s="9" t="s">
        <v>63</v>
      </c>
      <c r="Q140" s="7" t="s">
        <v>38</v>
      </c>
      <c r="R140" s="7" t="s">
        <v>52</v>
      </c>
      <c r="S140" s="10" t="s">
        <v>1565</v>
      </c>
      <c r="T140" s="7"/>
      <c r="U140" s="7"/>
      <c r="V140" s="7"/>
      <c r="W140" s="7"/>
      <c r="X140" s="7"/>
      <c r="Y140" s="7">
        <v>5</v>
      </c>
      <c r="Z140" s="7">
        <v>5</v>
      </c>
      <c r="AA140" s="7" t="s">
        <v>81</v>
      </c>
      <c r="AB140" s="7">
        <f t="shared" si="10"/>
        <v>1.6666666666666667</v>
      </c>
      <c r="AC140" s="7">
        <f t="shared" si="12"/>
        <v>1.6666666666666667</v>
      </c>
      <c r="AD140" s="7"/>
      <c r="AE140" s="7"/>
      <c r="AF140" s="7"/>
      <c r="AG140" s="7"/>
      <c r="AH140" s="7"/>
      <c r="AI140" s="7"/>
      <c r="AJ140" s="7"/>
      <c r="AK140" s="7"/>
      <c r="AL140" s="9"/>
      <c r="AM140" s="7" t="s">
        <v>71</v>
      </c>
      <c r="AN140" s="7" t="s">
        <v>71</v>
      </c>
      <c r="AO140" s="7"/>
    </row>
    <row r="141" spans="1:41" s="11" customFormat="1" ht="48" x14ac:dyDescent="0.25">
      <c r="A141" s="2">
        <v>140</v>
      </c>
      <c r="B141" s="7" t="s">
        <v>43</v>
      </c>
      <c r="C141" s="7" t="s">
        <v>78</v>
      </c>
      <c r="D141" s="7">
        <v>10</v>
      </c>
      <c r="E141" s="7">
        <v>10</v>
      </c>
      <c r="F141" s="8">
        <v>1</v>
      </c>
      <c r="G141" s="8">
        <v>1</v>
      </c>
      <c r="H141" s="7">
        <v>1</v>
      </c>
      <c r="I141" s="7">
        <v>1</v>
      </c>
      <c r="J141" s="7" t="s">
        <v>176</v>
      </c>
      <c r="K141" s="7" t="s">
        <v>189</v>
      </c>
      <c r="L141" s="7" t="s">
        <v>52</v>
      </c>
      <c r="M141" s="7">
        <f t="shared" si="11"/>
        <v>1</v>
      </c>
      <c r="N141" s="9" t="s">
        <v>177</v>
      </c>
      <c r="O141" s="7">
        <v>0</v>
      </c>
      <c r="P141" s="9" t="s">
        <v>63</v>
      </c>
      <c r="Q141" s="7" t="s">
        <v>38</v>
      </c>
      <c r="R141" s="7" t="s">
        <v>38</v>
      </c>
      <c r="S141" s="10" t="s">
        <v>1566</v>
      </c>
      <c r="T141" s="7" t="s">
        <v>92</v>
      </c>
      <c r="U141" s="7">
        <v>3</v>
      </c>
      <c r="V141" s="7" t="s">
        <v>199</v>
      </c>
      <c r="W141" s="7" t="s">
        <v>197</v>
      </c>
      <c r="X141" s="7"/>
      <c r="Y141" s="7"/>
      <c r="Z141" s="7"/>
      <c r="AA141" s="7"/>
      <c r="AB141" s="7">
        <f t="shared" si="10"/>
        <v>1</v>
      </c>
      <c r="AC141" s="7">
        <f t="shared" si="12"/>
        <v>1</v>
      </c>
      <c r="AD141" s="7"/>
      <c r="AE141" s="7"/>
      <c r="AF141" s="7"/>
      <c r="AG141" s="7"/>
      <c r="AH141" s="7"/>
      <c r="AI141" s="7"/>
      <c r="AJ141" s="7"/>
      <c r="AK141" s="7"/>
      <c r="AL141" s="9"/>
      <c r="AM141" s="7" t="s">
        <v>198</v>
      </c>
      <c r="AN141" s="7" t="s">
        <v>2850</v>
      </c>
      <c r="AO141" s="7"/>
    </row>
    <row r="142" spans="1:41" s="11" customFormat="1" x14ac:dyDescent="0.25">
      <c r="A142" s="2">
        <v>141</v>
      </c>
      <c r="B142" s="7" t="s">
        <v>73</v>
      </c>
      <c r="C142" s="7" t="s">
        <v>89</v>
      </c>
      <c r="D142" s="7" t="s">
        <v>200</v>
      </c>
      <c r="E142" s="7">
        <v>7</v>
      </c>
      <c r="F142" s="8">
        <v>2</v>
      </c>
      <c r="G142" s="8">
        <v>2</v>
      </c>
      <c r="H142" s="7" t="s">
        <v>87</v>
      </c>
      <c r="I142" s="7">
        <v>2</v>
      </c>
      <c r="J142" s="7" t="s">
        <v>176</v>
      </c>
      <c r="K142" s="7" t="s">
        <v>189</v>
      </c>
      <c r="L142" s="7" t="s">
        <v>52</v>
      </c>
      <c r="M142" s="7">
        <f t="shared" si="11"/>
        <v>2</v>
      </c>
      <c r="N142" s="9" t="s">
        <v>177</v>
      </c>
      <c r="O142" s="7">
        <v>0</v>
      </c>
      <c r="P142" s="9" t="s">
        <v>63</v>
      </c>
      <c r="Q142" s="7" t="s">
        <v>38</v>
      </c>
      <c r="R142" s="7" t="s">
        <v>38</v>
      </c>
      <c r="S142" s="10" t="s">
        <v>1567</v>
      </c>
      <c r="T142" s="7"/>
      <c r="U142" s="7"/>
      <c r="V142" s="7"/>
      <c r="W142" s="7"/>
      <c r="X142" s="7">
        <v>3</v>
      </c>
      <c r="Y142" s="7"/>
      <c r="Z142" s="7"/>
      <c r="AA142" s="7"/>
      <c r="AB142" s="7">
        <f t="shared" si="10"/>
        <v>1</v>
      </c>
      <c r="AC142" s="7">
        <f t="shared" si="12"/>
        <v>1</v>
      </c>
      <c r="AD142" s="7"/>
      <c r="AE142" s="7"/>
      <c r="AF142" s="7"/>
      <c r="AG142" s="7"/>
      <c r="AH142" s="7"/>
      <c r="AI142" s="7"/>
      <c r="AJ142" s="7"/>
      <c r="AK142" s="7"/>
      <c r="AL142" s="9"/>
      <c r="AM142" s="7" t="s">
        <v>71</v>
      </c>
      <c r="AN142" s="7" t="s">
        <v>71</v>
      </c>
      <c r="AO142" s="12"/>
    </row>
    <row r="143" spans="1:41" s="11" customFormat="1" x14ac:dyDescent="0.25">
      <c r="A143" s="2">
        <v>142</v>
      </c>
      <c r="B143" s="7" t="s">
        <v>43</v>
      </c>
      <c r="C143" s="7" t="s">
        <v>100</v>
      </c>
      <c r="D143" s="7">
        <v>6</v>
      </c>
      <c r="E143" s="7">
        <v>6</v>
      </c>
      <c r="F143" s="8">
        <v>1</v>
      </c>
      <c r="G143" s="8">
        <v>1</v>
      </c>
      <c r="H143" s="7">
        <v>1</v>
      </c>
      <c r="I143" s="7">
        <v>1</v>
      </c>
      <c r="J143" s="7" t="s">
        <v>176</v>
      </c>
      <c r="K143" s="7" t="s">
        <v>189</v>
      </c>
      <c r="L143" s="7" t="s">
        <v>52</v>
      </c>
      <c r="M143" s="7">
        <f t="shared" si="11"/>
        <v>1</v>
      </c>
      <c r="N143" s="9" t="s">
        <v>177</v>
      </c>
      <c r="O143" s="7">
        <v>0</v>
      </c>
      <c r="P143" s="9" t="s">
        <v>63</v>
      </c>
      <c r="Q143" s="7" t="s">
        <v>38</v>
      </c>
      <c r="R143" s="7" t="s">
        <v>38</v>
      </c>
      <c r="S143" s="10" t="s">
        <v>1568</v>
      </c>
      <c r="T143" s="7"/>
      <c r="U143" s="7"/>
      <c r="V143" s="7"/>
      <c r="W143" s="7"/>
      <c r="X143" s="7">
        <v>3</v>
      </c>
      <c r="Y143" s="7"/>
      <c r="Z143" s="7"/>
      <c r="AA143" s="7"/>
      <c r="AB143" s="7">
        <f t="shared" si="10"/>
        <v>1</v>
      </c>
      <c r="AC143" s="7">
        <f t="shared" si="12"/>
        <v>1</v>
      </c>
      <c r="AD143" s="7"/>
      <c r="AE143" s="7"/>
      <c r="AF143" s="7"/>
      <c r="AG143" s="7"/>
      <c r="AH143" s="7"/>
      <c r="AI143" s="7"/>
      <c r="AJ143" s="7"/>
      <c r="AK143" s="7"/>
      <c r="AL143" s="9"/>
      <c r="AM143" s="7" t="s">
        <v>71</v>
      </c>
      <c r="AN143" s="7" t="s">
        <v>71</v>
      </c>
      <c r="AO143" s="12"/>
    </row>
    <row r="144" spans="1:41" s="11" customFormat="1" ht="24" x14ac:dyDescent="0.25">
      <c r="A144" s="2">
        <v>143</v>
      </c>
      <c r="B144" s="7" t="s">
        <v>75</v>
      </c>
      <c r="C144" s="7" t="s">
        <v>78</v>
      </c>
      <c r="D144" s="7">
        <v>98</v>
      </c>
      <c r="E144" s="7">
        <v>98</v>
      </c>
      <c r="F144" s="8">
        <v>1</v>
      </c>
      <c r="G144" s="8">
        <v>1</v>
      </c>
      <c r="H144" s="7">
        <v>1</v>
      </c>
      <c r="I144" s="7">
        <v>1</v>
      </c>
      <c r="J144" s="7" t="s">
        <v>176</v>
      </c>
      <c r="K144" s="7">
        <v>2</v>
      </c>
      <c r="L144" s="7" t="s">
        <v>52</v>
      </c>
      <c r="M144" s="7">
        <f t="shared" si="11"/>
        <v>1</v>
      </c>
      <c r="N144" s="9" t="s">
        <v>109</v>
      </c>
      <c r="O144" s="7">
        <v>0</v>
      </c>
      <c r="P144" s="9" t="s">
        <v>63</v>
      </c>
      <c r="Q144" s="7" t="s">
        <v>38</v>
      </c>
      <c r="R144" s="7" t="s">
        <v>52</v>
      </c>
      <c r="S144" s="10" t="s">
        <v>1569</v>
      </c>
      <c r="T144" s="7">
        <v>10</v>
      </c>
      <c r="U144" s="7">
        <v>10</v>
      </c>
      <c r="V144" s="7">
        <v>290</v>
      </c>
      <c r="W144" s="7" t="s">
        <v>201</v>
      </c>
      <c r="X144" s="7"/>
      <c r="Y144" s="7"/>
      <c r="Z144" s="7"/>
      <c r="AA144" s="7"/>
      <c r="AB144" s="7">
        <f t="shared" si="10"/>
        <v>3.3333333333333335</v>
      </c>
      <c r="AC144" s="7">
        <f t="shared" si="12"/>
        <v>3.3333333333333335</v>
      </c>
      <c r="AD144" s="7"/>
      <c r="AE144" s="7"/>
      <c r="AF144" s="7"/>
      <c r="AG144" s="7"/>
      <c r="AH144" s="7"/>
      <c r="AI144" s="7"/>
      <c r="AJ144" s="7"/>
      <c r="AK144" s="7"/>
      <c r="AL144" s="9"/>
      <c r="AM144" s="7" t="s">
        <v>215</v>
      </c>
      <c r="AN144" s="7" t="s">
        <v>2850</v>
      </c>
      <c r="AO144" s="7"/>
    </row>
    <row r="145" spans="1:41" s="11" customFormat="1" x14ac:dyDescent="0.25">
      <c r="A145" s="2">
        <v>144</v>
      </c>
      <c r="B145" s="7" t="s">
        <v>75</v>
      </c>
      <c r="C145" s="7" t="s">
        <v>50</v>
      </c>
      <c r="D145" s="7">
        <v>106</v>
      </c>
      <c r="E145" s="7">
        <v>106</v>
      </c>
      <c r="F145" s="8">
        <v>1</v>
      </c>
      <c r="G145" s="8">
        <v>1</v>
      </c>
      <c r="H145" s="7">
        <v>1</v>
      </c>
      <c r="I145" s="7">
        <v>1</v>
      </c>
      <c r="J145" s="7" t="s">
        <v>176</v>
      </c>
      <c r="K145" s="7">
        <v>2</v>
      </c>
      <c r="L145" s="7" t="s">
        <v>52</v>
      </c>
      <c r="M145" s="7">
        <f t="shared" si="11"/>
        <v>1</v>
      </c>
      <c r="N145" s="9" t="s">
        <v>109</v>
      </c>
      <c r="O145" s="7">
        <v>0</v>
      </c>
      <c r="P145" s="9" t="s">
        <v>63</v>
      </c>
      <c r="Q145" s="7" t="s">
        <v>38</v>
      </c>
      <c r="R145" s="7" t="s">
        <v>52</v>
      </c>
      <c r="S145" s="10" t="s">
        <v>1570</v>
      </c>
      <c r="T145" s="7"/>
      <c r="U145" s="7"/>
      <c r="V145" s="7"/>
      <c r="W145" s="7"/>
      <c r="X145" s="7"/>
      <c r="Y145" s="7">
        <v>15</v>
      </c>
      <c r="Z145" s="7">
        <v>15</v>
      </c>
      <c r="AA145" s="7">
        <v>190</v>
      </c>
      <c r="AB145" s="7">
        <f t="shared" si="10"/>
        <v>5</v>
      </c>
      <c r="AC145" s="7">
        <f t="shared" si="12"/>
        <v>5</v>
      </c>
      <c r="AD145" s="7"/>
      <c r="AE145" s="7"/>
      <c r="AF145" s="7"/>
      <c r="AG145" s="7"/>
      <c r="AH145" s="7"/>
      <c r="AI145" s="7"/>
      <c r="AJ145" s="7"/>
      <c r="AK145" s="7"/>
      <c r="AL145" s="9"/>
      <c r="AM145" s="7" t="s">
        <v>80</v>
      </c>
      <c r="AN145" s="7" t="s">
        <v>2850</v>
      </c>
      <c r="AO145" s="10" t="s">
        <v>202</v>
      </c>
    </row>
    <row r="146" spans="1:41" s="11" customFormat="1" x14ac:dyDescent="0.25">
      <c r="A146" s="2">
        <v>145</v>
      </c>
      <c r="B146" s="7" t="s">
        <v>49</v>
      </c>
      <c r="C146" s="7" t="s">
        <v>78</v>
      </c>
      <c r="D146" s="7">
        <v>5</v>
      </c>
      <c r="E146" s="7">
        <v>5</v>
      </c>
      <c r="F146" s="8">
        <v>1</v>
      </c>
      <c r="G146" s="8">
        <v>1</v>
      </c>
      <c r="H146" s="7">
        <v>1</v>
      </c>
      <c r="I146" s="7">
        <v>1</v>
      </c>
      <c r="J146" s="7" t="s">
        <v>176</v>
      </c>
      <c r="K146" s="7">
        <v>9</v>
      </c>
      <c r="L146" s="7" t="s">
        <v>52</v>
      </c>
      <c r="M146" s="7">
        <f t="shared" si="11"/>
        <v>1</v>
      </c>
      <c r="N146" s="9" t="s">
        <v>177</v>
      </c>
      <c r="O146" s="7">
        <v>0</v>
      </c>
      <c r="P146" s="9" t="s">
        <v>63</v>
      </c>
      <c r="Q146" s="7" t="s">
        <v>38</v>
      </c>
      <c r="R146" s="7" t="s">
        <v>52</v>
      </c>
      <c r="S146" s="10" t="s">
        <v>1571</v>
      </c>
      <c r="T146" s="7">
        <v>4</v>
      </c>
      <c r="U146" s="7">
        <v>4</v>
      </c>
      <c r="V146" s="7">
        <v>150</v>
      </c>
      <c r="W146" s="7" t="s">
        <v>79</v>
      </c>
      <c r="X146" s="7"/>
      <c r="Y146" s="7"/>
      <c r="Z146" s="7"/>
      <c r="AA146" s="7"/>
      <c r="AB146" s="7">
        <f t="shared" si="10"/>
        <v>1.3333333333333333</v>
      </c>
      <c r="AC146" s="7">
        <f t="shared" si="12"/>
        <v>1.3333333333333333</v>
      </c>
      <c r="AD146" s="7"/>
      <c r="AE146" s="7"/>
      <c r="AF146" s="7"/>
      <c r="AG146" s="7"/>
      <c r="AH146" s="7"/>
      <c r="AI146" s="7"/>
      <c r="AJ146" s="7"/>
      <c r="AK146" s="7"/>
      <c r="AL146" s="9"/>
      <c r="AM146" s="7" t="s">
        <v>71</v>
      </c>
      <c r="AN146" s="7" t="s">
        <v>71</v>
      </c>
      <c r="AO146" s="7"/>
    </row>
    <row r="147" spans="1:41" s="11" customFormat="1" x14ac:dyDescent="0.25">
      <c r="A147" s="2">
        <v>146</v>
      </c>
      <c r="B147" s="7" t="s">
        <v>43</v>
      </c>
      <c r="C147" s="7" t="s">
        <v>89</v>
      </c>
      <c r="D147" s="7" t="s">
        <v>203</v>
      </c>
      <c r="E147" s="7">
        <v>6</v>
      </c>
      <c r="F147" s="8">
        <v>1</v>
      </c>
      <c r="G147" s="8">
        <v>2</v>
      </c>
      <c r="H147" s="7">
        <v>2</v>
      </c>
      <c r="I147" s="7">
        <v>2</v>
      </c>
      <c r="J147" s="7" t="s">
        <v>176</v>
      </c>
      <c r="K147" s="7">
        <v>3</v>
      </c>
      <c r="L147" s="7" t="s">
        <v>52</v>
      </c>
      <c r="M147" s="7">
        <f t="shared" si="11"/>
        <v>1</v>
      </c>
      <c r="N147" s="9" t="s">
        <v>177</v>
      </c>
      <c r="O147" s="7">
        <v>0</v>
      </c>
      <c r="P147" s="9" t="s">
        <v>63</v>
      </c>
      <c r="Q147" s="7" t="s">
        <v>38</v>
      </c>
      <c r="R147" s="7" t="s">
        <v>38</v>
      </c>
      <c r="S147" s="10" t="s">
        <v>452</v>
      </c>
      <c r="T147" s="7"/>
      <c r="U147" s="7"/>
      <c r="V147" s="7"/>
      <c r="W147" s="7"/>
      <c r="X147" s="7">
        <v>3</v>
      </c>
      <c r="Y147" s="7"/>
      <c r="Z147" s="7"/>
      <c r="AA147" s="7"/>
      <c r="AB147" s="7">
        <f t="shared" si="10"/>
        <v>1</v>
      </c>
      <c r="AC147" s="7">
        <f t="shared" si="12"/>
        <v>1</v>
      </c>
      <c r="AD147" s="7"/>
      <c r="AE147" s="7"/>
      <c r="AF147" s="7"/>
      <c r="AG147" s="7"/>
      <c r="AH147" s="7"/>
      <c r="AI147" s="7"/>
      <c r="AJ147" s="7"/>
      <c r="AK147" s="10" t="s">
        <v>2433</v>
      </c>
      <c r="AL147" s="9"/>
      <c r="AM147" s="7" t="s">
        <v>71</v>
      </c>
      <c r="AN147" s="7" t="s">
        <v>71</v>
      </c>
      <c r="AO147" s="7"/>
    </row>
    <row r="148" spans="1:41" s="11" customFormat="1" x14ac:dyDescent="0.25">
      <c r="A148" s="2">
        <v>147</v>
      </c>
      <c r="B148" s="7" t="s">
        <v>57</v>
      </c>
      <c r="C148" s="7" t="s">
        <v>100</v>
      </c>
      <c r="D148" s="7">
        <v>3</v>
      </c>
      <c r="E148" s="7">
        <v>3</v>
      </c>
      <c r="F148" s="8">
        <v>1</v>
      </c>
      <c r="G148" s="8">
        <v>1</v>
      </c>
      <c r="H148" s="7">
        <v>1</v>
      </c>
      <c r="I148" s="7">
        <v>1</v>
      </c>
      <c r="J148" s="7" t="s">
        <v>176</v>
      </c>
      <c r="K148" s="7">
        <v>2</v>
      </c>
      <c r="L148" s="7" t="s">
        <v>52</v>
      </c>
      <c r="M148" s="7">
        <f t="shared" si="11"/>
        <v>1</v>
      </c>
      <c r="N148" s="9" t="s">
        <v>177</v>
      </c>
      <c r="O148" s="7">
        <v>0</v>
      </c>
      <c r="P148" s="9" t="s">
        <v>63</v>
      </c>
      <c r="Q148" s="7" t="s">
        <v>38</v>
      </c>
      <c r="R148" s="7" t="s">
        <v>38</v>
      </c>
      <c r="S148" s="10" t="s">
        <v>452</v>
      </c>
      <c r="T148" s="7"/>
      <c r="U148" s="7"/>
      <c r="V148" s="7"/>
      <c r="W148" s="7"/>
      <c r="X148" s="7">
        <v>3</v>
      </c>
      <c r="Y148" s="7"/>
      <c r="Z148" s="7"/>
      <c r="AA148" s="7"/>
      <c r="AB148" s="7">
        <f t="shared" si="10"/>
        <v>1</v>
      </c>
      <c r="AC148" s="7">
        <f t="shared" si="12"/>
        <v>1</v>
      </c>
      <c r="AD148" s="7"/>
      <c r="AE148" s="7"/>
      <c r="AF148" s="7"/>
      <c r="AG148" s="7"/>
      <c r="AH148" s="7"/>
      <c r="AI148" s="7"/>
      <c r="AJ148" s="7"/>
      <c r="AK148" s="7"/>
      <c r="AL148" s="9"/>
      <c r="AM148" s="7" t="s">
        <v>71</v>
      </c>
      <c r="AN148" s="7" t="s">
        <v>71</v>
      </c>
      <c r="AO148" s="12"/>
    </row>
    <row r="149" spans="1:41" s="11" customFormat="1" x14ac:dyDescent="0.25">
      <c r="A149" s="2">
        <v>148</v>
      </c>
      <c r="B149" s="7" t="s">
        <v>43</v>
      </c>
      <c r="C149" s="7" t="s">
        <v>100</v>
      </c>
      <c r="D149" s="7">
        <v>3</v>
      </c>
      <c r="E149" s="7">
        <v>3</v>
      </c>
      <c r="F149" s="8">
        <v>1</v>
      </c>
      <c r="G149" s="8">
        <v>1</v>
      </c>
      <c r="H149" s="7">
        <v>1</v>
      </c>
      <c r="I149" s="7">
        <v>1</v>
      </c>
      <c r="J149" s="7" t="s">
        <v>176</v>
      </c>
      <c r="K149" s="7">
        <v>2</v>
      </c>
      <c r="L149" s="7" t="s">
        <v>52</v>
      </c>
      <c r="M149" s="7">
        <f t="shared" si="11"/>
        <v>1</v>
      </c>
      <c r="N149" s="9" t="s">
        <v>177</v>
      </c>
      <c r="O149" s="7">
        <v>0</v>
      </c>
      <c r="P149" s="9" t="s">
        <v>63</v>
      </c>
      <c r="Q149" s="7" t="s">
        <v>38</v>
      </c>
      <c r="R149" s="7" t="s">
        <v>38</v>
      </c>
      <c r="S149" s="10" t="s">
        <v>452</v>
      </c>
      <c r="T149" s="7"/>
      <c r="U149" s="7"/>
      <c r="V149" s="7"/>
      <c r="W149" s="7"/>
      <c r="X149" s="7">
        <v>3</v>
      </c>
      <c r="Y149" s="7"/>
      <c r="Z149" s="7"/>
      <c r="AA149" s="7"/>
      <c r="AB149" s="7">
        <f t="shared" si="10"/>
        <v>1</v>
      </c>
      <c r="AC149" s="7">
        <f t="shared" si="12"/>
        <v>1</v>
      </c>
      <c r="AD149" s="7"/>
      <c r="AE149" s="7"/>
      <c r="AF149" s="7"/>
      <c r="AG149" s="7"/>
      <c r="AH149" s="7"/>
      <c r="AI149" s="7"/>
      <c r="AJ149" s="7"/>
      <c r="AK149" s="10" t="s">
        <v>2434</v>
      </c>
      <c r="AL149" s="9"/>
      <c r="AM149" s="7" t="s">
        <v>71</v>
      </c>
      <c r="AN149" s="7" t="s">
        <v>71</v>
      </c>
      <c r="AO149" s="12"/>
    </row>
    <row r="150" spans="1:41" s="11" customFormat="1" x14ac:dyDescent="0.25">
      <c r="A150" s="2">
        <v>149</v>
      </c>
      <c r="B150" s="7" t="s">
        <v>68</v>
      </c>
      <c r="C150" s="7" t="s">
        <v>100</v>
      </c>
      <c r="D150" s="7">
        <v>3</v>
      </c>
      <c r="E150" s="7">
        <v>3</v>
      </c>
      <c r="F150" s="8">
        <v>1</v>
      </c>
      <c r="G150" s="8">
        <v>1</v>
      </c>
      <c r="H150" s="7">
        <v>1</v>
      </c>
      <c r="I150" s="7">
        <v>1</v>
      </c>
      <c r="J150" s="7" t="s">
        <v>176</v>
      </c>
      <c r="K150" s="7">
        <v>2</v>
      </c>
      <c r="L150" s="7" t="s">
        <v>52</v>
      </c>
      <c r="M150" s="7">
        <f t="shared" si="11"/>
        <v>1</v>
      </c>
      <c r="N150" s="9" t="s">
        <v>177</v>
      </c>
      <c r="O150" s="7">
        <v>0</v>
      </c>
      <c r="P150" s="9" t="s">
        <v>63</v>
      </c>
      <c r="Q150" s="7" t="s">
        <v>38</v>
      </c>
      <c r="R150" s="7" t="s">
        <v>38</v>
      </c>
      <c r="S150" s="10" t="s">
        <v>452</v>
      </c>
      <c r="T150" s="7"/>
      <c r="U150" s="7"/>
      <c r="V150" s="7"/>
      <c r="W150" s="7"/>
      <c r="X150" s="7">
        <v>3</v>
      </c>
      <c r="Y150" s="7"/>
      <c r="Z150" s="7"/>
      <c r="AA150" s="7"/>
      <c r="AB150" s="7">
        <f t="shared" si="10"/>
        <v>1</v>
      </c>
      <c r="AC150" s="7">
        <f t="shared" si="12"/>
        <v>1</v>
      </c>
      <c r="AD150" s="7"/>
      <c r="AE150" s="7"/>
      <c r="AF150" s="7"/>
      <c r="AG150" s="7"/>
      <c r="AH150" s="7"/>
      <c r="AI150" s="7"/>
      <c r="AJ150" s="7"/>
      <c r="AK150" s="7"/>
      <c r="AL150" s="9"/>
      <c r="AM150" s="7" t="s">
        <v>71</v>
      </c>
      <c r="AN150" s="7" t="s">
        <v>71</v>
      </c>
      <c r="AO150" s="12"/>
    </row>
    <row r="151" spans="1:41" s="11" customFormat="1" ht="36" x14ac:dyDescent="0.25">
      <c r="A151" s="2">
        <v>150</v>
      </c>
      <c r="B151" s="7" t="s">
        <v>49</v>
      </c>
      <c r="C151" s="7" t="s">
        <v>78</v>
      </c>
      <c r="D151" s="7">
        <v>16</v>
      </c>
      <c r="E151" s="7">
        <v>16</v>
      </c>
      <c r="F151" s="8">
        <v>1</v>
      </c>
      <c r="G151" s="8">
        <v>1</v>
      </c>
      <c r="H151" s="7">
        <v>1</v>
      </c>
      <c r="I151" s="7">
        <v>1</v>
      </c>
      <c r="J151" s="7" t="s">
        <v>176</v>
      </c>
      <c r="K151" s="7" t="s">
        <v>204</v>
      </c>
      <c r="L151" s="7" t="s">
        <v>52</v>
      </c>
      <c r="M151" s="7">
        <f t="shared" si="11"/>
        <v>1</v>
      </c>
      <c r="N151" s="9" t="s">
        <v>109</v>
      </c>
      <c r="O151" s="7">
        <v>0</v>
      </c>
      <c r="P151" s="9" t="s">
        <v>63</v>
      </c>
      <c r="Q151" s="7" t="s">
        <v>52</v>
      </c>
      <c r="R151" s="7" t="s">
        <v>38</v>
      </c>
      <c r="S151" s="10" t="s">
        <v>1572</v>
      </c>
      <c r="T151" s="7">
        <v>7</v>
      </c>
      <c r="U151" s="7">
        <v>7</v>
      </c>
      <c r="V151" s="7">
        <v>100</v>
      </c>
      <c r="W151" s="7" t="s">
        <v>205</v>
      </c>
      <c r="X151" s="7"/>
      <c r="Y151" s="7"/>
      <c r="Z151" s="7"/>
      <c r="AA151" s="7"/>
      <c r="AB151" s="7">
        <f t="shared" si="10"/>
        <v>2.3333333333333335</v>
      </c>
      <c r="AC151" s="7">
        <f t="shared" si="12"/>
        <v>2.3333333333333335</v>
      </c>
      <c r="AD151" s="7"/>
      <c r="AE151" s="7">
        <v>1</v>
      </c>
      <c r="AF151" s="7" t="s">
        <v>155</v>
      </c>
      <c r="AG151" s="7"/>
      <c r="AH151" s="7"/>
      <c r="AI151" s="7"/>
      <c r="AJ151" s="7"/>
      <c r="AK151" s="7"/>
      <c r="AL151" s="9"/>
      <c r="AM151" s="7" t="s">
        <v>71</v>
      </c>
      <c r="AN151" s="7" t="s">
        <v>71</v>
      </c>
      <c r="AO151" s="10" t="s">
        <v>2525</v>
      </c>
    </row>
    <row r="152" spans="1:41" s="11" customFormat="1" ht="24" x14ac:dyDescent="0.25">
      <c r="A152" s="2">
        <v>151</v>
      </c>
      <c r="B152" s="7" t="s">
        <v>68</v>
      </c>
      <c r="C152" s="7" t="s">
        <v>100</v>
      </c>
      <c r="D152" s="7">
        <v>1</v>
      </c>
      <c r="E152" s="7">
        <v>1</v>
      </c>
      <c r="F152" s="8">
        <v>1</v>
      </c>
      <c r="G152" s="8">
        <v>1</v>
      </c>
      <c r="H152" s="7">
        <v>1</v>
      </c>
      <c r="I152" s="7">
        <v>1</v>
      </c>
      <c r="J152" s="7" t="s">
        <v>206</v>
      </c>
      <c r="K152" s="7" t="s">
        <v>207</v>
      </c>
      <c r="L152" s="7" t="s">
        <v>52</v>
      </c>
      <c r="M152" s="7">
        <f t="shared" si="11"/>
        <v>1</v>
      </c>
      <c r="N152" s="9" t="s">
        <v>82</v>
      </c>
      <c r="O152" s="7">
        <v>0</v>
      </c>
      <c r="P152" s="9" t="s">
        <v>63</v>
      </c>
      <c r="Q152" s="7" t="s">
        <v>38</v>
      </c>
      <c r="R152" s="7" t="s">
        <v>38</v>
      </c>
      <c r="S152" s="10" t="s">
        <v>1573</v>
      </c>
      <c r="T152" s="7"/>
      <c r="U152" s="7"/>
      <c r="V152" s="7"/>
      <c r="W152" s="7"/>
      <c r="X152" s="7">
        <v>3</v>
      </c>
      <c r="Y152" s="7"/>
      <c r="Z152" s="7"/>
      <c r="AA152" s="7"/>
      <c r="AB152" s="7">
        <f t="shared" si="10"/>
        <v>1</v>
      </c>
      <c r="AC152" s="7">
        <f t="shared" si="12"/>
        <v>1</v>
      </c>
      <c r="AD152" s="7"/>
      <c r="AE152" s="7"/>
      <c r="AF152" s="7"/>
      <c r="AG152" s="7"/>
      <c r="AH152" s="7"/>
      <c r="AI152" s="7"/>
      <c r="AJ152" s="7"/>
      <c r="AK152" s="7"/>
      <c r="AL152" s="9"/>
      <c r="AM152" s="7" t="s">
        <v>71</v>
      </c>
      <c r="AN152" s="7" t="s">
        <v>71</v>
      </c>
      <c r="AO152" s="10" t="s">
        <v>2526</v>
      </c>
    </row>
    <row r="153" spans="1:41" s="11" customFormat="1" ht="24" x14ac:dyDescent="0.25">
      <c r="A153" s="2">
        <v>152</v>
      </c>
      <c r="B153" s="7" t="s">
        <v>208</v>
      </c>
      <c r="C153" s="7" t="s">
        <v>50</v>
      </c>
      <c r="D153" s="7">
        <v>22</v>
      </c>
      <c r="E153" s="7">
        <v>22</v>
      </c>
      <c r="F153" s="8">
        <v>1</v>
      </c>
      <c r="G153" s="8">
        <v>1</v>
      </c>
      <c r="H153" s="7">
        <v>1</v>
      </c>
      <c r="I153" s="7">
        <v>1</v>
      </c>
      <c r="J153" s="7" t="s">
        <v>176</v>
      </c>
      <c r="K153" s="7">
        <v>2</v>
      </c>
      <c r="L153" s="7" t="s">
        <v>52</v>
      </c>
      <c r="M153" s="7">
        <f t="shared" si="11"/>
        <v>1</v>
      </c>
      <c r="N153" s="9" t="s">
        <v>177</v>
      </c>
      <c r="O153" s="7">
        <v>0</v>
      </c>
      <c r="P153" s="9" t="s">
        <v>63</v>
      </c>
      <c r="Q153" s="7" t="s">
        <v>38</v>
      </c>
      <c r="R153" s="7" t="s">
        <v>52</v>
      </c>
      <c r="S153" s="10" t="s">
        <v>209</v>
      </c>
      <c r="T153" s="7"/>
      <c r="U153" s="7"/>
      <c r="V153" s="7"/>
      <c r="W153" s="7"/>
      <c r="X153" s="7"/>
      <c r="Y153" s="7">
        <v>5</v>
      </c>
      <c r="Z153" s="7">
        <v>5</v>
      </c>
      <c r="AA153" s="7">
        <v>230</v>
      </c>
      <c r="AB153" s="7">
        <f t="shared" si="10"/>
        <v>1.6666666666666667</v>
      </c>
      <c r="AC153" s="7">
        <f t="shared" si="12"/>
        <v>1.6666666666666667</v>
      </c>
      <c r="AD153" s="7"/>
      <c r="AE153" s="7"/>
      <c r="AF153" s="7"/>
      <c r="AG153" s="7"/>
      <c r="AH153" s="7"/>
      <c r="AI153" s="7"/>
      <c r="AJ153" s="7"/>
      <c r="AK153" s="7"/>
      <c r="AL153" s="9"/>
      <c r="AM153" s="7" t="s">
        <v>71</v>
      </c>
      <c r="AN153" s="7" t="s">
        <v>71</v>
      </c>
      <c r="AO153" s="7"/>
    </row>
    <row r="154" spans="1:41" s="11" customFormat="1" x14ac:dyDescent="0.25">
      <c r="A154" s="2">
        <v>153</v>
      </c>
      <c r="B154" s="7" t="s">
        <v>73</v>
      </c>
      <c r="C154" s="7" t="s">
        <v>100</v>
      </c>
      <c r="D154" s="7">
        <v>2</v>
      </c>
      <c r="E154" s="7">
        <v>2</v>
      </c>
      <c r="F154" s="8">
        <v>1</v>
      </c>
      <c r="G154" s="8">
        <v>1</v>
      </c>
      <c r="H154" s="7">
        <v>1</v>
      </c>
      <c r="I154" s="7">
        <v>1</v>
      </c>
      <c r="J154" s="7" t="s">
        <v>176</v>
      </c>
      <c r="K154" s="7">
        <v>2</v>
      </c>
      <c r="L154" s="7" t="s">
        <v>52</v>
      </c>
      <c r="M154" s="7">
        <f t="shared" si="11"/>
        <v>1</v>
      </c>
      <c r="N154" s="9" t="s">
        <v>177</v>
      </c>
      <c r="O154" s="7">
        <v>0</v>
      </c>
      <c r="P154" s="9" t="s">
        <v>63</v>
      </c>
      <c r="Q154" s="7" t="s">
        <v>38</v>
      </c>
      <c r="R154" s="7" t="s">
        <v>38</v>
      </c>
      <c r="S154" s="7" t="s">
        <v>210</v>
      </c>
      <c r="T154" s="7"/>
      <c r="U154" s="7"/>
      <c r="V154" s="7"/>
      <c r="W154" s="7"/>
      <c r="X154" s="7">
        <v>3</v>
      </c>
      <c r="Y154" s="7"/>
      <c r="Z154" s="7"/>
      <c r="AA154" s="7"/>
      <c r="AB154" s="7">
        <f t="shared" si="10"/>
        <v>1</v>
      </c>
      <c r="AC154" s="7">
        <f t="shared" si="12"/>
        <v>1</v>
      </c>
      <c r="AD154" s="7"/>
      <c r="AE154" s="7"/>
      <c r="AF154" s="7"/>
      <c r="AG154" s="7"/>
      <c r="AH154" s="7"/>
      <c r="AI154" s="7"/>
      <c r="AJ154" s="7"/>
      <c r="AK154" s="7" t="s">
        <v>211</v>
      </c>
      <c r="AL154" s="9"/>
      <c r="AM154" s="7" t="s">
        <v>71</v>
      </c>
      <c r="AN154" s="7" t="s">
        <v>71</v>
      </c>
      <c r="AO154" s="12"/>
    </row>
    <row r="155" spans="1:41" s="11" customFormat="1" ht="24" x14ac:dyDescent="0.25">
      <c r="A155" s="2">
        <v>154</v>
      </c>
      <c r="B155" s="7" t="s">
        <v>74</v>
      </c>
      <c r="C155" s="7" t="s">
        <v>78</v>
      </c>
      <c r="D155" s="7" t="s">
        <v>212</v>
      </c>
      <c r="E155" s="7">
        <v>64</v>
      </c>
      <c r="F155" s="8">
        <v>1</v>
      </c>
      <c r="G155" s="8">
        <v>2</v>
      </c>
      <c r="H155" s="7">
        <v>2</v>
      </c>
      <c r="I155" s="7">
        <v>2</v>
      </c>
      <c r="J155" s="7" t="s">
        <v>176</v>
      </c>
      <c r="K155" s="7">
        <v>3</v>
      </c>
      <c r="L155" s="7" t="s">
        <v>52</v>
      </c>
      <c r="M155" s="7">
        <f t="shared" si="11"/>
        <v>1</v>
      </c>
      <c r="N155" s="9" t="s">
        <v>213</v>
      </c>
      <c r="O155" s="7">
        <v>0</v>
      </c>
      <c r="P155" s="9" t="s">
        <v>63</v>
      </c>
      <c r="Q155" s="7" t="s">
        <v>38</v>
      </c>
      <c r="R155" s="7" t="s">
        <v>52</v>
      </c>
      <c r="S155" s="10" t="s">
        <v>1574</v>
      </c>
      <c r="T155" s="7">
        <v>10</v>
      </c>
      <c r="U155" s="7">
        <v>10</v>
      </c>
      <c r="V155" s="7">
        <v>330</v>
      </c>
      <c r="W155" s="7" t="s">
        <v>214</v>
      </c>
      <c r="X155" s="7"/>
      <c r="Y155" s="7"/>
      <c r="Z155" s="7"/>
      <c r="AA155" s="7"/>
      <c r="AB155" s="7">
        <f t="shared" si="10"/>
        <v>3.3333333333333335</v>
      </c>
      <c r="AC155" s="7">
        <f t="shared" si="12"/>
        <v>3.3333333333333335</v>
      </c>
      <c r="AD155" s="7"/>
      <c r="AE155" s="7"/>
      <c r="AF155" s="7"/>
      <c r="AG155" s="7"/>
      <c r="AH155" s="7"/>
      <c r="AI155" s="7"/>
      <c r="AJ155" s="7"/>
      <c r="AK155" s="7"/>
      <c r="AL155" s="9"/>
      <c r="AM155" s="7" t="s">
        <v>215</v>
      </c>
      <c r="AN155" s="7" t="s">
        <v>2850</v>
      </c>
      <c r="AO155" s="7"/>
    </row>
    <row r="156" spans="1:41" s="11" customFormat="1" ht="24" x14ac:dyDescent="0.25">
      <c r="A156" s="2">
        <v>155</v>
      </c>
      <c r="B156" s="7" t="s">
        <v>216</v>
      </c>
      <c r="C156" s="7" t="s">
        <v>50</v>
      </c>
      <c r="D156" s="7" t="s">
        <v>217</v>
      </c>
      <c r="E156" s="7">
        <f>106+91+60+56+40+83</f>
        <v>436</v>
      </c>
      <c r="F156" s="8">
        <v>1</v>
      </c>
      <c r="G156" s="9" t="s">
        <v>218</v>
      </c>
      <c r="H156" s="7">
        <v>6</v>
      </c>
      <c r="I156" s="7">
        <v>6</v>
      </c>
      <c r="J156" s="7" t="s">
        <v>219</v>
      </c>
      <c r="K156" s="7">
        <v>6</v>
      </c>
      <c r="L156" s="7" t="s">
        <v>52</v>
      </c>
      <c r="M156" s="7">
        <f t="shared" si="11"/>
        <v>1</v>
      </c>
      <c r="N156" s="9" t="s">
        <v>82</v>
      </c>
      <c r="O156" s="7">
        <v>0</v>
      </c>
      <c r="P156" s="9" t="s">
        <v>36</v>
      </c>
      <c r="Q156" s="7" t="s">
        <v>38</v>
      </c>
      <c r="R156" s="7" t="s">
        <v>38</v>
      </c>
      <c r="S156" s="7" t="s">
        <v>220</v>
      </c>
      <c r="T156" s="7"/>
      <c r="U156" s="7"/>
      <c r="V156" s="7"/>
      <c r="W156" s="7"/>
      <c r="X156" s="7">
        <v>3</v>
      </c>
      <c r="Y156" s="7">
        <v>90</v>
      </c>
      <c r="Z156" s="7">
        <v>90</v>
      </c>
      <c r="AA156" s="7">
        <v>170</v>
      </c>
      <c r="AB156" s="7">
        <f t="shared" ref="AB156:AB187" si="13">(U156+X156+Z156)/3</f>
        <v>31</v>
      </c>
      <c r="AC156" s="7">
        <f t="shared" si="12"/>
        <v>31</v>
      </c>
      <c r="AD156" s="7"/>
      <c r="AE156" s="7"/>
      <c r="AF156" s="7"/>
      <c r="AG156" s="7"/>
      <c r="AH156" s="7"/>
      <c r="AI156" s="7"/>
      <c r="AJ156" s="7"/>
      <c r="AK156" s="7"/>
      <c r="AL156" s="9"/>
      <c r="AM156" s="7" t="s">
        <v>221</v>
      </c>
      <c r="AN156" s="7" t="s">
        <v>662</v>
      </c>
      <c r="AO156" s="7"/>
    </row>
    <row r="157" spans="1:41" s="11" customFormat="1" ht="24" x14ac:dyDescent="0.25">
      <c r="A157" s="2">
        <v>156</v>
      </c>
      <c r="B157" s="7" t="s">
        <v>49</v>
      </c>
      <c r="C157" s="7" t="s">
        <v>222</v>
      </c>
      <c r="D157" s="7" t="s">
        <v>223</v>
      </c>
      <c r="E157" s="7">
        <f>98+16</f>
        <v>114</v>
      </c>
      <c r="F157" s="8">
        <v>1</v>
      </c>
      <c r="G157" s="8">
        <v>2</v>
      </c>
      <c r="H157" s="7" t="s">
        <v>87</v>
      </c>
      <c r="I157" s="7">
        <v>2</v>
      </c>
      <c r="J157" s="7" t="s">
        <v>219</v>
      </c>
      <c r="K157" s="7">
        <v>6</v>
      </c>
      <c r="L157" s="7" t="s">
        <v>52</v>
      </c>
      <c r="M157" s="7">
        <f t="shared" si="11"/>
        <v>1</v>
      </c>
      <c r="N157" s="9" t="s">
        <v>34</v>
      </c>
      <c r="O157" s="7">
        <v>0</v>
      </c>
      <c r="P157" s="9" t="s">
        <v>37</v>
      </c>
      <c r="Q157" s="7" t="s">
        <v>38</v>
      </c>
      <c r="R157" s="7" t="s">
        <v>38</v>
      </c>
      <c r="S157" s="10" t="s">
        <v>1575</v>
      </c>
      <c r="T157" s="7"/>
      <c r="U157" s="7"/>
      <c r="V157" s="7"/>
      <c r="W157" s="7"/>
      <c r="X157" s="7">
        <v>3</v>
      </c>
      <c r="Y157" s="7"/>
      <c r="Z157" s="7"/>
      <c r="AA157" s="7"/>
      <c r="AB157" s="7">
        <f t="shared" si="13"/>
        <v>1</v>
      </c>
      <c r="AC157" s="7">
        <f t="shared" si="12"/>
        <v>1</v>
      </c>
      <c r="AD157" s="7"/>
      <c r="AE157" s="7">
        <v>1</v>
      </c>
      <c r="AF157" s="7"/>
      <c r="AG157" s="7"/>
      <c r="AH157" s="7"/>
      <c r="AI157" s="7"/>
      <c r="AJ157" s="7"/>
      <c r="AK157" s="7"/>
      <c r="AL157" s="9"/>
      <c r="AM157" s="7" t="s">
        <v>71</v>
      </c>
      <c r="AN157" s="7" t="s">
        <v>71</v>
      </c>
      <c r="AO157" s="12"/>
    </row>
    <row r="158" spans="1:41" s="11" customFormat="1" ht="24" x14ac:dyDescent="0.25">
      <c r="A158" s="2">
        <v>157</v>
      </c>
      <c r="B158" s="7" t="s">
        <v>57</v>
      </c>
      <c r="C158" s="7" t="s">
        <v>224</v>
      </c>
      <c r="D158" s="7" t="s">
        <v>225</v>
      </c>
      <c r="E158" s="7">
        <v>31</v>
      </c>
      <c r="F158" s="8">
        <v>3</v>
      </c>
      <c r="G158" s="8">
        <v>3</v>
      </c>
      <c r="H158" s="7" t="s">
        <v>97</v>
      </c>
      <c r="I158" s="7">
        <v>3</v>
      </c>
      <c r="J158" s="7" t="s">
        <v>219</v>
      </c>
      <c r="K158" s="7">
        <v>6</v>
      </c>
      <c r="L158" s="7" t="s">
        <v>52</v>
      </c>
      <c r="M158" s="7">
        <f t="shared" si="11"/>
        <v>3</v>
      </c>
      <c r="N158" s="9" t="s">
        <v>82</v>
      </c>
      <c r="O158" s="7">
        <v>0</v>
      </c>
      <c r="P158" s="9" t="s">
        <v>36</v>
      </c>
      <c r="Q158" s="7" t="s">
        <v>38</v>
      </c>
      <c r="R158" s="7" t="s">
        <v>38</v>
      </c>
      <c r="S158" s="10" t="s">
        <v>1576</v>
      </c>
      <c r="T158" s="7"/>
      <c r="U158" s="7"/>
      <c r="V158" s="7"/>
      <c r="W158" s="7"/>
      <c r="X158" s="7">
        <v>3</v>
      </c>
      <c r="Y158" s="7" t="s">
        <v>92</v>
      </c>
      <c r="Z158" s="7">
        <v>3</v>
      </c>
      <c r="AA158" s="7" t="s">
        <v>76</v>
      </c>
      <c r="AB158" s="7">
        <f t="shared" si="13"/>
        <v>2</v>
      </c>
      <c r="AC158" s="7">
        <f t="shared" si="12"/>
        <v>2</v>
      </c>
      <c r="AD158" s="7"/>
      <c r="AE158" s="7"/>
      <c r="AF158" s="7"/>
      <c r="AG158" s="7"/>
      <c r="AH158" s="7"/>
      <c r="AI158" s="7"/>
      <c r="AJ158" s="7"/>
      <c r="AK158" s="7"/>
      <c r="AL158" s="9"/>
      <c r="AM158" s="7" t="s">
        <v>71</v>
      </c>
      <c r="AN158" s="7" t="s">
        <v>71</v>
      </c>
      <c r="AO158" s="12"/>
    </row>
    <row r="159" spans="1:41" s="11" customFormat="1" x14ac:dyDescent="0.25">
      <c r="A159" s="2">
        <v>158</v>
      </c>
      <c r="B159" s="7" t="s">
        <v>49</v>
      </c>
      <c r="C159" s="7" t="s">
        <v>89</v>
      </c>
      <c r="D159" s="7" t="s">
        <v>226</v>
      </c>
      <c r="E159" s="7">
        <f>42+14+25</f>
        <v>81</v>
      </c>
      <c r="F159" s="8">
        <v>4</v>
      </c>
      <c r="G159" s="8">
        <v>4</v>
      </c>
      <c r="H159" s="7" t="s">
        <v>91</v>
      </c>
      <c r="I159" s="7">
        <v>4</v>
      </c>
      <c r="J159" s="7" t="s">
        <v>219</v>
      </c>
      <c r="K159" s="7">
        <v>6</v>
      </c>
      <c r="L159" s="7" t="s">
        <v>52</v>
      </c>
      <c r="M159" s="7">
        <f t="shared" si="11"/>
        <v>4</v>
      </c>
      <c r="N159" s="9" t="s">
        <v>34</v>
      </c>
      <c r="O159" s="7">
        <v>1</v>
      </c>
      <c r="P159" s="9" t="s">
        <v>37</v>
      </c>
      <c r="Q159" s="7" t="s">
        <v>52</v>
      </c>
      <c r="R159" s="7" t="s">
        <v>38</v>
      </c>
      <c r="S159" s="10" t="s">
        <v>1577</v>
      </c>
      <c r="T159" s="7"/>
      <c r="U159" s="7"/>
      <c r="V159" s="7"/>
      <c r="W159" s="7"/>
      <c r="X159" s="7">
        <v>3</v>
      </c>
      <c r="Y159" s="7"/>
      <c r="Z159" s="7"/>
      <c r="AA159" s="7"/>
      <c r="AB159" s="7">
        <f t="shared" si="13"/>
        <v>1</v>
      </c>
      <c r="AC159" s="7">
        <f t="shared" si="12"/>
        <v>1</v>
      </c>
      <c r="AD159" s="7"/>
      <c r="AE159" s="7"/>
      <c r="AF159" s="7"/>
      <c r="AG159" s="7"/>
      <c r="AH159" s="7"/>
      <c r="AI159" s="7"/>
      <c r="AJ159" s="7"/>
      <c r="AK159" s="7"/>
      <c r="AL159" s="9"/>
      <c r="AM159" s="7" t="s">
        <v>71</v>
      </c>
      <c r="AN159" s="7" t="s">
        <v>71</v>
      </c>
      <c r="AO159" s="12"/>
    </row>
    <row r="160" spans="1:41" s="11" customFormat="1" ht="24" x14ac:dyDescent="0.25">
      <c r="A160" s="2">
        <v>159</v>
      </c>
      <c r="B160" s="7" t="s">
        <v>74</v>
      </c>
      <c r="C160" s="7" t="s">
        <v>78</v>
      </c>
      <c r="D160" s="7">
        <v>44</v>
      </c>
      <c r="E160" s="7">
        <v>44</v>
      </c>
      <c r="F160" s="8">
        <v>1</v>
      </c>
      <c r="G160" s="8">
        <v>5</v>
      </c>
      <c r="H160" s="7">
        <v>5</v>
      </c>
      <c r="I160" s="7">
        <v>5</v>
      </c>
      <c r="J160" s="7" t="s">
        <v>219</v>
      </c>
      <c r="K160" s="7">
        <v>1</v>
      </c>
      <c r="L160" s="7" t="s">
        <v>52</v>
      </c>
      <c r="M160" s="7">
        <f t="shared" si="11"/>
        <v>1</v>
      </c>
      <c r="N160" s="9" t="s">
        <v>34</v>
      </c>
      <c r="O160" s="7">
        <v>0</v>
      </c>
      <c r="P160" s="9" t="s">
        <v>33</v>
      </c>
      <c r="Q160" s="7" t="s">
        <v>52</v>
      </c>
      <c r="R160" s="7" t="s">
        <v>38</v>
      </c>
      <c r="S160" s="10" t="s">
        <v>1578</v>
      </c>
      <c r="T160" s="7">
        <v>95</v>
      </c>
      <c r="U160" s="7">
        <v>95</v>
      </c>
      <c r="V160" s="7">
        <v>38</v>
      </c>
      <c r="W160" s="7" t="s">
        <v>79</v>
      </c>
      <c r="X160" s="7"/>
      <c r="Y160" s="7"/>
      <c r="Z160" s="7"/>
      <c r="AA160" s="7"/>
      <c r="AB160" s="7">
        <f t="shared" si="13"/>
        <v>31.666666666666668</v>
      </c>
      <c r="AC160" s="7">
        <f t="shared" si="12"/>
        <v>31.666666666666668</v>
      </c>
      <c r="AD160" s="7" t="s">
        <v>227</v>
      </c>
      <c r="AE160" s="7"/>
      <c r="AF160" s="7" t="s">
        <v>228</v>
      </c>
      <c r="AG160" s="7" t="s">
        <v>229</v>
      </c>
      <c r="AH160" s="7"/>
      <c r="AI160" s="7"/>
      <c r="AJ160" s="7"/>
      <c r="AK160" s="7"/>
      <c r="AL160" s="9" t="s">
        <v>38</v>
      </c>
      <c r="AM160" s="7" t="s">
        <v>67</v>
      </c>
      <c r="AN160" s="7" t="s">
        <v>2847</v>
      </c>
      <c r="AO160" s="7"/>
    </row>
    <row r="161" spans="1:41" s="11" customFormat="1" x14ac:dyDescent="0.25">
      <c r="A161" s="2">
        <v>160</v>
      </c>
      <c r="B161" s="7" t="s">
        <v>69</v>
      </c>
      <c r="C161" s="7" t="s">
        <v>50</v>
      </c>
      <c r="D161" s="7" t="s">
        <v>230</v>
      </c>
      <c r="E161" s="7">
        <f>61+19</f>
        <v>80</v>
      </c>
      <c r="F161" s="8">
        <v>1</v>
      </c>
      <c r="G161" s="8">
        <v>3</v>
      </c>
      <c r="H161" s="7">
        <v>3</v>
      </c>
      <c r="I161" s="7">
        <v>3</v>
      </c>
      <c r="J161" s="7" t="s">
        <v>219</v>
      </c>
      <c r="K161" s="7">
        <v>1</v>
      </c>
      <c r="L161" s="7" t="s">
        <v>52</v>
      </c>
      <c r="M161" s="7">
        <f t="shared" si="11"/>
        <v>1</v>
      </c>
      <c r="N161" s="9" t="s">
        <v>34</v>
      </c>
      <c r="O161" s="7">
        <v>0</v>
      </c>
      <c r="P161" s="9" t="s">
        <v>37</v>
      </c>
      <c r="Q161" s="7" t="s">
        <v>38</v>
      </c>
      <c r="R161" s="7" t="s">
        <v>38</v>
      </c>
      <c r="S161" s="10" t="s">
        <v>1579</v>
      </c>
      <c r="T161" s="7"/>
      <c r="U161" s="7"/>
      <c r="V161" s="7"/>
      <c r="W161" s="7"/>
      <c r="X161" s="7"/>
      <c r="Y161" s="7">
        <v>12</v>
      </c>
      <c r="Z161" s="7">
        <v>12</v>
      </c>
      <c r="AA161" s="7">
        <v>170</v>
      </c>
      <c r="AB161" s="7">
        <f t="shared" si="13"/>
        <v>4</v>
      </c>
      <c r="AC161" s="7">
        <f t="shared" si="12"/>
        <v>4</v>
      </c>
      <c r="AD161" s="7"/>
      <c r="AE161" s="7"/>
      <c r="AF161" s="7"/>
      <c r="AG161" s="7"/>
      <c r="AH161" s="7"/>
      <c r="AI161" s="10" t="s">
        <v>2304</v>
      </c>
      <c r="AJ161" s="7"/>
      <c r="AK161" s="7"/>
      <c r="AL161" s="9"/>
      <c r="AM161" s="7" t="s">
        <v>221</v>
      </c>
      <c r="AN161" s="7" t="s">
        <v>662</v>
      </c>
      <c r="AO161" s="7"/>
    </row>
    <row r="162" spans="1:41" s="11" customFormat="1" x14ac:dyDescent="0.25">
      <c r="A162" s="2">
        <v>161</v>
      </c>
      <c r="B162" s="7" t="s">
        <v>49</v>
      </c>
      <c r="C162" s="7" t="s">
        <v>50</v>
      </c>
      <c r="D162" s="7">
        <v>33</v>
      </c>
      <c r="E162" s="7">
        <v>33</v>
      </c>
      <c r="F162" s="8">
        <v>1</v>
      </c>
      <c r="G162" s="8">
        <v>1</v>
      </c>
      <c r="H162" s="7">
        <v>1</v>
      </c>
      <c r="I162" s="7">
        <v>1</v>
      </c>
      <c r="J162" s="7" t="s">
        <v>219</v>
      </c>
      <c r="K162" s="7">
        <v>1</v>
      </c>
      <c r="L162" s="7" t="s">
        <v>52</v>
      </c>
      <c r="M162" s="7">
        <f t="shared" si="11"/>
        <v>1</v>
      </c>
      <c r="N162" s="9" t="s">
        <v>34</v>
      </c>
      <c r="O162" s="7">
        <v>0</v>
      </c>
      <c r="P162" s="9" t="s">
        <v>63</v>
      </c>
      <c r="Q162" s="7" t="s">
        <v>38</v>
      </c>
      <c r="R162" s="7" t="s">
        <v>52</v>
      </c>
      <c r="S162" s="10" t="s">
        <v>1580</v>
      </c>
      <c r="T162" s="7"/>
      <c r="U162" s="7"/>
      <c r="V162" s="7"/>
      <c r="W162" s="7"/>
      <c r="X162" s="7"/>
      <c r="Y162" s="7">
        <v>15</v>
      </c>
      <c r="Z162" s="7">
        <v>15</v>
      </c>
      <c r="AA162" s="7">
        <v>120</v>
      </c>
      <c r="AB162" s="7">
        <f t="shared" si="13"/>
        <v>5</v>
      </c>
      <c r="AC162" s="7">
        <f t="shared" si="12"/>
        <v>5</v>
      </c>
      <c r="AD162" s="7"/>
      <c r="AE162" s="7"/>
      <c r="AF162" s="7"/>
      <c r="AG162" s="7"/>
      <c r="AH162" s="7"/>
      <c r="AI162" s="7"/>
      <c r="AJ162" s="7"/>
      <c r="AK162" s="7"/>
      <c r="AL162" s="9"/>
      <c r="AM162" s="7" t="s">
        <v>71</v>
      </c>
      <c r="AN162" s="7" t="s">
        <v>71</v>
      </c>
      <c r="AO162" s="12"/>
    </row>
    <row r="163" spans="1:41" s="11" customFormat="1" x14ac:dyDescent="0.25">
      <c r="A163" s="2">
        <v>162</v>
      </c>
      <c r="B163" s="7" t="s">
        <v>74</v>
      </c>
      <c r="C163" s="7" t="s">
        <v>100</v>
      </c>
      <c r="D163" s="7">
        <v>41</v>
      </c>
      <c r="E163" s="7">
        <v>41</v>
      </c>
      <c r="F163" s="8">
        <v>1</v>
      </c>
      <c r="G163" s="8">
        <v>1</v>
      </c>
      <c r="H163" s="7">
        <v>1</v>
      </c>
      <c r="I163" s="7">
        <v>1</v>
      </c>
      <c r="J163" s="7" t="s">
        <v>219</v>
      </c>
      <c r="K163" s="7">
        <v>1</v>
      </c>
      <c r="L163" s="7" t="s">
        <v>52</v>
      </c>
      <c r="M163" s="7">
        <f t="shared" si="11"/>
        <v>1</v>
      </c>
      <c r="N163" s="9" t="s">
        <v>34</v>
      </c>
      <c r="O163" s="7">
        <v>0</v>
      </c>
      <c r="P163" s="9" t="s">
        <v>37</v>
      </c>
      <c r="Q163" s="7" t="s">
        <v>38</v>
      </c>
      <c r="R163" s="7" t="s">
        <v>38</v>
      </c>
      <c r="S163" s="7" t="s">
        <v>231</v>
      </c>
      <c r="T163" s="7"/>
      <c r="U163" s="7"/>
      <c r="V163" s="7"/>
      <c r="W163" s="7"/>
      <c r="X163" s="7">
        <v>3</v>
      </c>
      <c r="Y163" s="7"/>
      <c r="Z163" s="7"/>
      <c r="AA163" s="7"/>
      <c r="AB163" s="7">
        <f t="shared" si="13"/>
        <v>1</v>
      </c>
      <c r="AC163" s="7">
        <f t="shared" si="12"/>
        <v>1</v>
      </c>
      <c r="AD163" s="7"/>
      <c r="AE163" s="7"/>
      <c r="AF163" s="7"/>
      <c r="AG163" s="7"/>
      <c r="AH163" s="7"/>
      <c r="AI163" s="7"/>
      <c r="AJ163" s="7"/>
      <c r="AK163" s="7"/>
      <c r="AL163" s="9"/>
      <c r="AM163" s="7" t="s">
        <v>71</v>
      </c>
      <c r="AN163" s="7" t="s">
        <v>71</v>
      </c>
      <c r="AO163" s="12"/>
    </row>
    <row r="164" spans="1:41" s="11" customFormat="1" x14ac:dyDescent="0.25">
      <c r="A164" s="2">
        <v>163</v>
      </c>
      <c r="B164" s="7" t="s">
        <v>103</v>
      </c>
      <c r="C164" s="7" t="s">
        <v>89</v>
      </c>
      <c r="D164" s="7" t="s">
        <v>232</v>
      </c>
      <c r="E164" s="7">
        <v>20</v>
      </c>
      <c r="F164" s="8">
        <v>1</v>
      </c>
      <c r="G164" s="8">
        <v>2</v>
      </c>
      <c r="H164" s="7" t="s">
        <v>87</v>
      </c>
      <c r="I164" s="7">
        <v>2</v>
      </c>
      <c r="J164" s="7" t="s">
        <v>219</v>
      </c>
      <c r="K164" s="7">
        <v>1</v>
      </c>
      <c r="L164" s="7" t="s">
        <v>52</v>
      </c>
      <c r="M164" s="7">
        <f t="shared" si="11"/>
        <v>1</v>
      </c>
      <c r="N164" s="9" t="s">
        <v>34</v>
      </c>
      <c r="O164" s="7">
        <v>2</v>
      </c>
      <c r="P164" s="9" t="s">
        <v>63</v>
      </c>
      <c r="Q164" s="7" t="s">
        <v>52</v>
      </c>
      <c r="R164" s="7" t="s">
        <v>38</v>
      </c>
      <c r="S164" s="10" t="s">
        <v>1581</v>
      </c>
      <c r="T164" s="7"/>
      <c r="U164" s="7"/>
      <c r="V164" s="7"/>
      <c r="W164" s="7"/>
      <c r="X164" s="7">
        <v>3</v>
      </c>
      <c r="Y164" s="7"/>
      <c r="Z164" s="7"/>
      <c r="AA164" s="7"/>
      <c r="AB164" s="7">
        <f t="shared" si="13"/>
        <v>1</v>
      </c>
      <c r="AC164" s="7">
        <f t="shared" si="12"/>
        <v>1</v>
      </c>
      <c r="AD164" s="7"/>
      <c r="AE164" s="7"/>
      <c r="AF164" s="7"/>
      <c r="AG164" s="7"/>
      <c r="AH164" s="7"/>
      <c r="AI164" s="7"/>
      <c r="AJ164" s="7"/>
      <c r="AK164" s="7"/>
      <c r="AL164" s="9"/>
      <c r="AM164" s="7" t="s">
        <v>71</v>
      </c>
      <c r="AN164" s="7" t="s">
        <v>71</v>
      </c>
      <c r="AO164" s="12"/>
    </row>
    <row r="165" spans="1:41" s="11" customFormat="1" x14ac:dyDescent="0.25">
      <c r="A165" s="2">
        <v>164</v>
      </c>
      <c r="B165" s="7" t="s">
        <v>49</v>
      </c>
      <c r="C165" s="7" t="s">
        <v>100</v>
      </c>
      <c r="D165" s="7">
        <v>3</v>
      </c>
      <c r="E165" s="7">
        <v>3</v>
      </c>
      <c r="F165" s="8">
        <v>1</v>
      </c>
      <c r="G165" s="8">
        <v>1</v>
      </c>
      <c r="H165" s="7">
        <v>1</v>
      </c>
      <c r="I165" s="7">
        <v>1</v>
      </c>
      <c r="J165" s="7" t="s">
        <v>219</v>
      </c>
      <c r="K165" s="7">
        <v>1</v>
      </c>
      <c r="L165" s="7" t="s">
        <v>52</v>
      </c>
      <c r="M165" s="7">
        <f t="shared" si="11"/>
        <v>1</v>
      </c>
      <c r="N165" s="9" t="s">
        <v>36</v>
      </c>
      <c r="O165" s="7">
        <v>0</v>
      </c>
      <c r="P165" s="9" t="s">
        <v>36</v>
      </c>
      <c r="Q165" s="7" t="s">
        <v>38</v>
      </c>
      <c r="R165" s="7" t="s">
        <v>38</v>
      </c>
      <c r="S165" s="10" t="s">
        <v>1553</v>
      </c>
      <c r="T165" s="7"/>
      <c r="U165" s="7"/>
      <c r="V165" s="7"/>
      <c r="W165" s="7"/>
      <c r="X165" s="7">
        <v>3</v>
      </c>
      <c r="Y165" s="7"/>
      <c r="Z165" s="7"/>
      <c r="AA165" s="7"/>
      <c r="AB165" s="7">
        <f t="shared" si="13"/>
        <v>1</v>
      </c>
      <c r="AC165" s="7">
        <f t="shared" si="12"/>
        <v>1</v>
      </c>
      <c r="AD165" s="7"/>
      <c r="AE165" s="7"/>
      <c r="AF165" s="7"/>
      <c r="AG165" s="7"/>
      <c r="AH165" s="7"/>
      <c r="AI165" s="7"/>
      <c r="AJ165" s="7"/>
      <c r="AK165" s="7"/>
      <c r="AL165" s="9"/>
      <c r="AM165" s="7" t="s">
        <v>71</v>
      </c>
      <c r="AN165" s="7" t="s">
        <v>71</v>
      </c>
      <c r="AO165" s="12"/>
    </row>
    <row r="166" spans="1:41" s="11" customFormat="1" x14ac:dyDescent="0.25">
      <c r="A166" s="2">
        <v>165</v>
      </c>
      <c r="B166" s="7" t="s">
        <v>103</v>
      </c>
      <c r="C166" s="7" t="s">
        <v>100</v>
      </c>
      <c r="D166" s="7">
        <v>12</v>
      </c>
      <c r="E166" s="7">
        <v>12</v>
      </c>
      <c r="F166" s="8">
        <v>1</v>
      </c>
      <c r="G166" s="8">
        <v>1</v>
      </c>
      <c r="H166" s="7">
        <v>1</v>
      </c>
      <c r="I166" s="7">
        <v>1</v>
      </c>
      <c r="J166" s="7" t="s">
        <v>219</v>
      </c>
      <c r="K166" s="7">
        <v>1</v>
      </c>
      <c r="L166" s="7" t="s">
        <v>52</v>
      </c>
      <c r="M166" s="7">
        <f t="shared" si="11"/>
        <v>1</v>
      </c>
      <c r="N166" s="9" t="s">
        <v>34</v>
      </c>
      <c r="O166" s="7">
        <v>1</v>
      </c>
      <c r="P166" s="9" t="s">
        <v>37</v>
      </c>
      <c r="Q166" s="7" t="s">
        <v>38</v>
      </c>
      <c r="R166" s="7" t="s">
        <v>38</v>
      </c>
      <c r="S166" s="10" t="s">
        <v>1582</v>
      </c>
      <c r="T166" s="7"/>
      <c r="U166" s="7"/>
      <c r="V166" s="7"/>
      <c r="W166" s="7"/>
      <c r="X166" s="7">
        <v>3</v>
      </c>
      <c r="Y166" s="7"/>
      <c r="Z166" s="7"/>
      <c r="AA166" s="7"/>
      <c r="AB166" s="7">
        <f t="shared" si="13"/>
        <v>1</v>
      </c>
      <c r="AC166" s="7">
        <f t="shared" si="12"/>
        <v>1</v>
      </c>
      <c r="AD166" s="7"/>
      <c r="AE166" s="7"/>
      <c r="AF166" s="7"/>
      <c r="AG166" s="7"/>
      <c r="AH166" s="7"/>
      <c r="AI166" s="7"/>
      <c r="AJ166" s="7"/>
      <c r="AK166" s="7"/>
      <c r="AL166" s="9"/>
      <c r="AM166" s="7" t="s">
        <v>71</v>
      </c>
      <c r="AN166" s="7" t="s">
        <v>71</v>
      </c>
      <c r="AO166" s="12"/>
    </row>
    <row r="167" spans="1:41" s="11" customFormat="1" x14ac:dyDescent="0.25">
      <c r="A167" s="2">
        <v>166</v>
      </c>
      <c r="B167" s="7" t="s">
        <v>73</v>
      </c>
      <c r="C167" s="7" t="s">
        <v>100</v>
      </c>
      <c r="D167" s="7">
        <v>7</v>
      </c>
      <c r="E167" s="7">
        <v>7</v>
      </c>
      <c r="F167" s="8">
        <v>1</v>
      </c>
      <c r="G167" s="8">
        <v>1</v>
      </c>
      <c r="H167" s="7">
        <v>1</v>
      </c>
      <c r="I167" s="7">
        <v>1</v>
      </c>
      <c r="J167" s="7" t="s">
        <v>219</v>
      </c>
      <c r="K167" s="7">
        <v>1</v>
      </c>
      <c r="L167" s="7" t="s">
        <v>52</v>
      </c>
      <c r="M167" s="7">
        <f t="shared" si="11"/>
        <v>1</v>
      </c>
      <c r="N167" s="9" t="s">
        <v>34</v>
      </c>
      <c r="O167" s="7">
        <v>1</v>
      </c>
      <c r="P167" s="9" t="s">
        <v>37</v>
      </c>
      <c r="Q167" s="7" t="s">
        <v>38</v>
      </c>
      <c r="R167" s="7" t="s">
        <v>38</v>
      </c>
      <c r="S167" s="7"/>
      <c r="T167" s="7"/>
      <c r="U167" s="7"/>
      <c r="V167" s="7"/>
      <c r="W167" s="7"/>
      <c r="X167" s="7">
        <v>3</v>
      </c>
      <c r="Y167" s="7"/>
      <c r="Z167" s="7"/>
      <c r="AA167" s="7"/>
      <c r="AB167" s="7">
        <f t="shared" si="13"/>
        <v>1</v>
      </c>
      <c r="AC167" s="7">
        <f t="shared" si="12"/>
        <v>1</v>
      </c>
      <c r="AD167" s="7"/>
      <c r="AE167" s="7"/>
      <c r="AF167" s="7"/>
      <c r="AG167" s="7"/>
      <c r="AH167" s="7"/>
      <c r="AI167" s="7"/>
      <c r="AJ167" s="7"/>
      <c r="AK167" s="7"/>
      <c r="AL167" s="9"/>
      <c r="AM167" s="7" t="s">
        <v>71</v>
      </c>
      <c r="AN167" s="7" t="s">
        <v>71</v>
      </c>
      <c r="AO167" s="12"/>
    </row>
    <row r="168" spans="1:41" s="11" customFormat="1" x14ac:dyDescent="0.25">
      <c r="A168" s="2">
        <v>167</v>
      </c>
      <c r="B168" s="7" t="s">
        <v>149</v>
      </c>
      <c r="C168" s="7" t="s">
        <v>100</v>
      </c>
      <c r="D168" s="7">
        <v>14</v>
      </c>
      <c r="E168" s="7">
        <v>14</v>
      </c>
      <c r="F168" s="8">
        <v>1</v>
      </c>
      <c r="G168" s="8">
        <v>1</v>
      </c>
      <c r="H168" s="7">
        <v>1</v>
      </c>
      <c r="I168" s="7">
        <v>1</v>
      </c>
      <c r="J168" s="7" t="s">
        <v>219</v>
      </c>
      <c r="K168" s="7">
        <v>1</v>
      </c>
      <c r="L168" s="7" t="s">
        <v>52</v>
      </c>
      <c r="M168" s="7">
        <f t="shared" si="11"/>
        <v>1</v>
      </c>
      <c r="N168" s="9" t="s">
        <v>34</v>
      </c>
      <c r="O168" s="7">
        <v>3</v>
      </c>
      <c r="P168" s="9" t="s">
        <v>34</v>
      </c>
      <c r="Q168" s="7" t="s">
        <v>38</v>
      </c>
      <c r="R168" s="7" t="s">
        <v>38</v>
      </c>
      <c r="S168" s="10" t="s">
        <v>1583</v>
      </c>
      <c r="T168" s="7"/>
      <c r="U168" s="7"/>
      <c r="V168" s="7"/>
      <c r="W168" s="7"/>
      <c r="X168" s="7">
        <v>3</v>
      </c>
      <c r="Y168" s="7"/>
      <c r="Z168" s="7"/>
      <c r="AA168" s="7"/>
      <c r="AB168" s="7">
        <f t="shared" si="13"/>
        <v>1</v>
      </c>
      <c r="AC168" s="7">
        <f t="shared" si="12"/>
        <v>1</v>
      </c>
      <c r="AD168" s="7"/>
      <c r="AE168" s="7"/>
      <c r="AF168" s="7"/>
      <c r="AG168" s="7"/>
      <c r="AH168" s="7"/>
      <c r="AI168" s="7"/>
      <c r="AJ168" s="7"/>
      <c r="AK168" s="7"/>
      <c r="AL168" s="9"/>
      <c r="AM168" s="7" t="s">
        <v>71</v>
      </c>
      <c r="AN168" s="7" t="s">
        <v>71</v>
      </c>
      <c r="AO168" s="12"/>
    </row>
    <row r="169" spans="1:41" s="11" customFormat="1" x14ac:dyDescent="0.25">
      <c r="A169" s="2">
        <v>168</v>
      </c>
      <c r="B169" s="7" t="s">
        <v>43</v>
      </c>
      <c r="C169" s="7" t="s">
        <v>100</v>
      </c>
      <c r="D169" s="7" t="s">
        <v>233</v>
      </c>
      <c r="E169" s="7">
        <v>23</v>
      </c>
      <c r="F169" s="8">
        <v>2</v>
      </c>
      <c r="G169" s="8">
        <v>2</v>
      </c>
      <c r="H169" s="7" t="s">
        <v>87</v>
      </c>
      <c r="I169" s="7">
        <v>2</v>
      </c>
      <c r="J169" s="7" t="s">
        <v>219</v>
      </c>
      <c r="K169" s="7">
        <v>1</v>
      </c>
      <c r="L169" s="7" t="s">
        <v>52</v>
      </c>
      <c r="M169" s="7">
        <f t="shared" si="11"/>
        <v>2</v>
      </c>
      <c r="N169" s="9" t="s">
        <v>34</v>
      </c>
      <c r="O169" s="7">
        <v>0</v>
      </c>
      <c r="P169" s="9" t="s">
        <v>34</v>
      </c>
      <c r="Q169" s="7" t="s">
        <v>38</v>
      </c>
      <c r="R169" s="7" t="s">
        <v>38</v>
      </c>
      <c r="S169" s="10" t="s">
        <v>1584</v>
      </c>
      <c r="T169" s="7"/>
      <c r="U169" s="7"/>
      <c r="V169" s="7"/>
      <c r="W169" s="7"/>
      <c r="X169" s="7">
        <v>3</v>
      </c>
      <c r="Y169" s="7"/>
      <c r="Z169" s="7"/>
      <c r="AA169" s="7"/>
      <c r="AB169" s="7">
        <f t="shared" si="13"/>
        <v>1</v>
      </c>
      <c r="AC169" s="7">
        <f t="shared" si="12"/>
        <v>1</v>
      </c>
      <c r="AD169" s="7"/>
      <c r="AE169" s="7"/>
      <c r="AF169" s="7"/>
      <c r="AG169" s="7"/>
      <c r="AH169" s="7"/>
      <c r="AI169" s="7"/>
      <c r="AJ169" s="7"/>
      <c r="AK169" s="7"/>
      <c r="AL169" s="9"/>
      <c r="AM169" s="7" t="s">
        <v>71</v>
      </c>
      <c r="AN169" s="7" t="s">
        <v>71</v>
      </c>
      <c r="AO169" s="12"/>
    </row>
    <row r="170" spans="1:41" s="11" customFormat="1" x14ac:dyDescent="0.25">
      <c r="A170" s="2">
        <v>169</v>
      </c>
      <c r="B170" s="7" t="s">
        <v>69</v>
      </c>
      <c r="C170" s="7" t="s">
        <v>100</v>
      </c>
      <c r="D170" s="7">
        <v>7</v>
      </c>
      <c r="E170" s="7">
        <v>7</v>
      </c>
      <c r="F170" s="8">
        <v>1</v>
      </c>
      <c r="G170" s="8">
        <v>1</v>
      </c>
      <c r="H170" s="7">
        <v>1</v>
      </c>
      <c r="I170" s="7">
        <v>1</v>
      </c>
      <c r="J170" s="7" t="s">
        <v>219</v>
      </c>
      <c r="K170" s="7">
        <v>1</v>
      </c>
      <c r="L170" s="7" t="s">
        <v>52</v>
      </c>
      <c r="M170" s="7">
        <f t="shared" si="11"/>
        <v>1</v>
      </c>
      <c r="N170" s="9" t="s">
        <v>82</v>
      </c>
      <c r="O170" s="7">
        <v>0</v>
      </c>
      <c r="P170" s="9" t="s">
        <v>36</v>
      </c>
      <c r="Q170" s="7" t="s">
        <v>38</v>
      </c>
      <c r="R170" s="7"/>
      <c r="S170" s="10" t="s">
        <v>1585</v>
      </c>
      <c r="T170" s="7"/>
      <c r="U170" s="7"/>
      <c r="V170" s="7"/>
      <c r="W170" s="7"/>
      <c r="X170" s="7">
        <v>3</v>
      </c>
      <c r="Y170" s="7"/>
      <c r="Z170" s="7"/>
      <c r="AA170" s="7"/>
      <c r="AB170" s="7">
        <f t="shared" si="13"/>
        <v>1</v>
      </c>
      <c r="AC170" s="7">
        <f t="shared" si="12"/>
        <v>1</v>
      </c>
      <c r="AD170" s="7"/>
      <c r="AE170" s="7"/>
      <c r="AF170" s="7"/>
      <c r="AG170" s="7"/>
      <c r="AH170" s="7"/>
      <c r="AI170" s="7"/>
      <c r="AJ170" s="7"/>
      <c r="AK170" s="7"/>
      <c r="AL170" s="9"/>
      <c r="AM170" s="7" t="s">
        <v>71</v>
      </c>
      <c r="AN170" s="7" t="s">
        <v>71</v>
      </c>
      <c r="AO170" s="12"/>
    </row>
    <row r="171" spans="1:41" s="11" customFormat="1" x14ac:dyDescent="0.25">
      <c r="A171" s="2">
        <v>170</v>
      </c>
      <c r="B171" s="7" t="s">
        <v>234</v>
      </c>
      <c r="C171" s="7" t="s">
        <v>100</v>
      </c>
      <c r="D171" s="7">
        <v>31</v>
      </c>
      <c r="E171" s="7">
        <v>31</v>
      </c>
      <c r="F171" s="8">
        <v>1</v>
      </c>
      <c r="G171" s="8">
        <v>1</v>
      </c>
      <c r="H171" s="7">
        <v>1</v>
      </c>
      <c r="I171" s="7">
        <v>1</v>
      </c>
      <c r="J171" s="7" t="s">
        <v>219</v>
      </c>
      <c r="K171" s="7">
        <v>1</v>
      </c>
      <c r="L171" s="7" t="s">
        <v>52</v>
      </c>
      <c r="M171" s="7">
        <f t="shared" si="11"/>
        <v>1</v>
      </c>
      <c r="N171" s="9" t="s">
        <v>34</v>
      </c>
      <c r="O171" s="7">
        <v>0</v>
      </c>
      <c r="P171" s="9" t="s">
        <v>34</v>
      </c>
      <c r="Q171" s="7" t="s">
        <v>38</v>
      </c>
      <c r="R171" s="7" t="s">
        <v>38</v>
      </c>
      <c r="S171" s="10" t="s">
        <v>1586</v>
      </c>
      <c r="T171" s="7"/>
      <c r="U171" s="7"/>
      <c r="V171" s="7"/>
      <c r="W171" s="7"/>
      <c r="X171" s="7">
        <v>3</v>
      </c>
      <c r="Y171" s="7"/>
      <c r="Z171" s="7"/>
      <c r="AA171" s="7"/>
      <c r="AB171" s="7">
        <f t="shared" si="13"/>
        <v>1</v>
      </c>
      <c r="AC171" s="7">
        <f t="shared" si="12"/>
        <v>1</v>
      </c>
      <c r="AD171" s="7"/>
      <c r="AE171" s="7"/>
      <c r="AF171" s="7"/>
      <c r="AG171" s="7"/>
      <c r="AH171" s="7"/>
      <c r="AI171" s="7"/>
      <c r="AJ171" s="7"/>
      <c r="AK171" s="7"/>
      <c r="AL171" s="9"/>
      <c r="AM171" s="7" t="s">
        <v>71</v>
      </c>
      <c r="AN171" s="7" t="s">
        <v>71</v>
      </c>
      <c r="AO171" s="12"/>
    </row>
    <row r="172" spans="1:41" s="11" customFormat="1" ht="24" x14ac:dyDescent="0.25">
      <c r="A172" s="2">
        <v>171</v>
      </c>
      <c r="B172" s="7" t="s">
        <v>73</v>
      </c>
      <c r="C172" s="7" t="s">
        <v>100</v>
      </c>
      <c r="D172" s="7">
        <v>19</v>
      </c>
      <c r="E172" s="7">
        <v>19</v>
      </c>
      <c r="F172" s="8">
        <v>1</v>
      </c>
      <c r="G172" s="8">
        <v>1</v>
      </c>
      <c r="H172" s="7">
        <v>1</v>
      </c>
      <c r="I172" s="7">
        <v>1</v>
      </c>
      <c r="J172" s="7" t="s">
        <v>219</v>
      </c>
      <c r="K172" s="7" t="s">
        <v>204</v>
      </c>
      <c r="L172" s="7" t="s">
        <v>52</v>
      </c>
      <c r="M172" s="7">
        <f t="shared" si="11"/>
        <v>1</v>
      </c>
      <c r="N172" s="9" t="s">
        <v>36</v>
      </c>
      <c r="O172" s="7">
        <v>0</v>
      </c>
      <c r="P172" s="9" t="s">
        <v>63</v>
      </c>
      <c r="Q172" s="7" t="s">
        <v>38</v>
      </c>
      <c r="R172" s="7" t="s">
        <v>38</v>
      </c>
      <c r="S172" s="10" t="s">
        <v>1587</v>
      </c>
      <c r="T172" s="7"/>
      <c r="U172" s="7"/>
      <c r="V172" s="7"/>
      <c r="W172" s="7"/>
      <c r="X172" s="7">
        <v>3</v>
      </c>
      <c r="Y172" s="7"/>
      <c r="Z172" s="7"/>
      <c r="AA172" s="7"/>
      <c r="AB172" s="7">
        <f t="shared" si="13"/>
        <v>1</v>
      </c>
      <c r="AC172" s="7">
        <f t="shared" si="12"/>
        <v>1</v>
      </c>
      <c r="AD172" s="7"/>
      <c r="AE172" s="7"/>
      <c r="AF172" s="7"/>
      <c r="AG172" s="7"/>
      <c r="AH172" s="7"/>
      <c r="AI172" s="7"/>
      <c r="AJ172" s="7"/>
      <c r="AK172" s="7" t="s">
        <v>235</v>
      </c>
      <c r="AL172" s="9"/>
      <c r="AM172" s="7" t="s">
        <v>71</v>
      </c>
      <c r="AN172" s="7" t="s">
        <v>71</v>
      </c>
      <c r="AO172" s="10" t="s">
        <v>2527</v>
      </c>
    </row>
    <row r="173" spans="1:41" s="11" customFormat="1" x14ac:dyDescent="0.25">
      <c r="A173" s="2">
        <v>172</v>
      </c>
      <c r="B173" s="7" t="s">
        <v>73</v>
      </c>
      <c r="C173" s="7" t="s">
        <v>100</v>
      </c>
      <c r="D173" s="7">
        <v>9</v>
      </c>
      <c r="E173" s="7">
        <v>9</v>
      </c>
      <c r="F173" s="8">
        <v>1</v>
      </c>
      <c r="G173" s="8">
        <v>1</v>
      </c>
      <c r="H173" s="7">
        <v>1</v>
      </c>
      <c r="I173" s="7">
        <v>1</v>
      </c>
      <c r="J173" s="9" t="s">
        <v>219</v>
      </c>
      <c r="K173" s="7" t="s">
        <v>204</v>
      </c>
      <c r="L173" s="7" t="s">
        <v>52</v>
      </c>
      <c r="M173" s="7">
        <f t="shared" si="11"/>
        <v>1</v>
      </c>
      <c r="N173" s="9" t="s">
        <v>34</v>
      </c>
      <c r="O173" s="7">
        <v>0</v>
      </c>
      <c r="P173" s="9" t="s">
        <v>34</v>
      </c>
      <c r="Q173" s="7" t="s">
        <v>38</v>
      </c>
      <c r="R173" s="7" t="s">
        <v>52</v>
      </c>
      <c r="S173" s="10" t="s">
        <v>1588</v>
      </c>
      <c r="T173" s="7"/>
      <c r="U173" s="7"/>
      <c r="V173" s="7"/>
      <c r="W173" s="7"/>
      <c r="X173" s="7">
        <v>3</v>
      </c>
      <c r="Y173" s="7"/>
      <c r="Z173" s="7"/>
      <c r="AA173" s="7"/>
      <c r="AB173" s="7">
        <f t="shared" si="13"/>
        <v>1</v>
      </c>
      <c r="AC173" s="7">
        <f t="shared" si="12"/>
        <v>1</v>
      </c>
      <c r="AD173" s="7"/>
      <c r="AE173" s="7"/>
      <c r="AF173" s="7"/>
      <c r="AG173" s="7"/>
      <c r="AH173" s="7"/>
      <c r="AI173" s="7"/>
      <c r="AJ173" s="7"/>
      <c r="AK173" s="7"/>
      <c r="AL173" s="9"/>
      <c r="AM173" s="7" t="s">
        <v>71</v>
      </c>
      <c r="AN173" s="7" t="s">
        <v>71</v>
      </c>
      <c r="AO173" s="12"/>
    </row>
    <row r="174" spans="1:41" s="11" customFormat="1" ht="24" x14ac:dyDescent="0.25">
      <c r="A174" s="2">
        <v>173</v>
      </c>
      <c r="B174" s="7" t="s">
        <v>236</v>
      </c>
      <c r="C174" s="7" t="s">
        <v>237</v>
      </c>
      <c r="D174" s="7" t="s">
        <v>238</v>
      </c>
      <c r="E174" s="7">
        <f>68+31+18+16+7</f>
        <v>140</v>
      </c>
      <c r="F174" s="8">
        <v>1</v>
      </c>
      <c r="G174" s="9" t="s">
        <v>203</v>
      </c>
      <c r="H174" s="7">
        <v>6</v>
      </c>
      <c r="I174" s="7">
        <v>6</v>
      </c>
      <c r="J174" s="7" t="s">
        <v>35</v>
      </c>
      <c r="K174" s="7">
        <v>1</v>
      </c>
      <c r="L174" s="7" t="s">
        <v>52</v>
      </c>
      <c r="M174" s="7">
        <f t="shared" si="11"/>
        <v>1</v>
      </c>
      <c r="N174" s="9" t="s">
        <v>82</v>
      </c>
      <c r="O174" s="7">
        <v>0</v>
      </c>
      <c r="P174" s="9" t="s">
        <v>36</v>
      </c>
      <c r="Q174" s="7" t="s">
        <v>38</v>
      </c>
      <c r="R174" s="7" t="s">
        <v>38</v>
      </c>
      <c r="S174" s="10" t="s">
        <v>1589</v>
      </c>
      <c r="T174" s="7">
        <v>16</v>
      </c>
      <c r="U174" s="7">
        <v>16</v>
      </c>
      <c r="V174" s="7">
        <v>180</v>
      </c>
      <c r="W174" s="7" t="s">
        <v>239</v>
      </c>
      <c r="X174" s="7">
        <v>10</v>
      </c>
      <c r="Y174" s="7"/>
      <c r="Z174" s="7"/>
      <c r="AA174" s="7"/>
      <c r="AB174" s="7">
        <f t="shared" si="13"/>
        <v>8.6666666666666661</v>
      </c>
      <c r="AC174" s="7">
        <f t="shared" si="12"/>
        <v>8.6666666666666661</v>
      </c>
      <c r="AD174" s="7">
        <v>1</v>
      </c>
      <c r="AE174" s="7"/>
      <c r="AF174" s="7" t="s">
        <v>40</v>
      </c>
      <c r="AG174" s="7" t="s">
        <v>162</v>
      </c>
      <c r="AH174" s="7"/>
      <c r="AI174" s="7"/>
      <c r="AJ174" s="7"/>
      <c r="AK174" s="7"/>
      <c r="AL174" s="9" t="s">
        <v>38</v>
      </c>
      <c r="AM174" s="7" t="s">
        <v>340</v>
      </c>
      <c r="AN174" s="7" t="s">
        <v>2848</v>
      </c>
      <c r="AO174" s="10" t="s">
        <v>2528</v>
      </c>
    </row>
    <row r="175" spans="1:41" s="11" customFormat="1" x14ac:dyDescent="0.25">
      <c r="A175" s="2">
        <v>174</v>
      </c>
      <c r="B175" s="7" t="s">
        <v>69</v>
      </c>
      <c r="C175" s="7" t="s">
        <v>100</v>
      </c>
      <c r="D175" s="7">
        <v>63</v>
      </c>
      <c r="E175" s="7">
        <v>63</v>
      </c>
      <c r="F175" s="8">
        <v>1</v>
      </c>
      <c r="G175" s="8">
        <v>1</v>
      </c>
      <c r="H175" s="7">
        <v>1</v>
      </c>
      <c r="I175" s="7">
        <v>1</v>
      </c>
      <c r="J175" s="7" t="s">
        <v>219</v>
      </c>
      <c r="K175" s="7">
        <v>13</v>
      </c>
      <c r="L175" s="7" t="s">
        <v>52</v>
      </c>
      <c r="M175" s="7">
        <f t="shared" si="11"/>
        <v>1</v>
      </c>
      <c r="N175" s="9" t="s">
        <v>82</v>
      </c>
      <c r="O175" s="7">
        <v>0</v>
      </c>
      <c r="P175" s="9" t="s">
        <v>34</v>
      </c>
      <c r="Q175" s="7" t="s">
        <v>38</v>
      </c>
      <c r="R175" s="7" t="s">
        <v>38</v>
      </c>
      <c r="S175" s="10" t="s">
        <v>1590</v>
      </c>
      <c r="T175" s="7"/>
      <c r="U175" s="7"/>
      <c r="V175" s="7"/>
      <c r="W175" s="7"/>
      <c r="X175" s="7">
        <v>3</v>
      </c>
      <c r="Y175" s="7"/>
      <c r="Z175" s="7"/>
      <c r="AA175" s="7"/>
      <c r="AB175" s="7">
        <f t="shared" si="13"/>
        <v>1</v>
      </c>
      <c r="AC175" s="7">
        <f t="shared" si="12"/>
        <v>1</v>
      </c>
      <c r="AD175" s="7"/>
      <c r="AE175" s="7"/>
      <c r="AF175" s="7"/>
      <c r="AG175" s="7"/>
      <c r="AH175" s="7"/>
      <c r="AI175" s="7"/>
      <c r="AJ175" s="7"/>
      <c r="AK175" s="7"/>
      <c r="AL175" s="9"/>
      <c r="AM175" s="7" t="s">
        <v>71</v>
      </c>
      <c r="AN175" s="7" t="s">
        <v>71</v>
      </c>
      <c r="AO175" s="12"/>
    </row>
    <row r="176" spans="1:41" s="11" customFormat="1" x14ac:dyDescent="0.25">
      <c r="A176" s="2">
        <v>175</v>
      </c>
      <c r="B176" s="7" t="s">
        <v>75</v>
      </c>
      <c r="C176" s="7" t="s">
        <v>100</v>
      </c>
      <c r="D176" s="7">
        <v>12</v>
      </c>
      <c r="E176" s="7">
        <v>12</v>
      </c>
      <c r="F176" s="8">
        <v>1</v>
      </c>
      <c r="G176" s="8">
        <v>1</v>
      </c>
      <c r="H176" s="7">
        <v>1</v>
      </c>
      <c r="I176" s="7">
        <v>1</v>
      </c>
      <c r="J176" s="7" t="s">
        <v>70</v>
      </c>
      <c r="K176" s="7">
        <v>1</v>
      </c>
      <c r="L176" s="7" t="s">
        <v>52</v>
      </c>
      <c r="M176" s="7">
        <f t="shared" si="11"/>
        <v>1</v>
      </c>
      <c r="N176" s="9" t="s">
        <v>36</v>
      </c>
      <c r="O176" s="7">
        <v>0</v>
      </c>
      <c r="P176" s="9" t="s">
        <v>63</v>
      </c>
      <c r="Q176" s="7" t="s">
        <v>52</v>
      </c>
      <c r="R176" s="7" t="s">
        <v>38</v>
      </c>
      <c r="S176" s="10" t="s">
        <v>1546</v>
      </c>
      <c r="T176" s="7"/>
      <c r="U176" s="7"/>
      <c r="V176" s="7"/>
      <c r="W176" s="7"/>
      <c r="X176" s="7">
        <v>3</v>
      </c>
      <c r="Y176" s="7"/>
      <c r="Z176" s="7"/>
      <c r="AA176" s="7"/>
      <c r="AB176" s="7">
        <f t="shared" si="13"/>
        <v>1</v>
      </c>
      <c r="AC176" s="7">
        <f t="shared" si="12"/>
        <v>1</v>
      </c>
      <c r="AD176" s="7"/>
      <c r="AE176" s="7"/>
      <c r="AF176" s="7"/>
      <c r="AG176" s="7"/>
      <c r="AH176" s="7"/>
      <c r="AI176" s="7"/>
      <c r="AJ176" s="7"/>
      <c r="AK176" s="7"/>
      <c r="AL176" s="9"/>
      <c r="AM176" s="7" t="s">
        <v>71</v>
      </c>
      <c r="AN176" s="7" t="s">
        <v>71</v>
      </c>
      <c r="AO176" s="7"/>
    </row>
    <row r="177" spans="1:41" s="11" customFormat="1" x14ac:dyDescent="0.25">
      <c r="A177" s="2">
        <v>176</v>
      </c>
      <c r="B177" s="7" t="s">
        <v>123</v>
      </c>
      <c r="C177" s="7" t="s">
        <v>100</v>
      </c>
      <c r="D177" s="7">
        <v>2</v>
      </c>
      <c r="E177" s="7">
        <v>2</v>
      </c>
      <c r="F177" s="8">
        <v>1</v>
      </c>
      <c r="G177" s="8">
        <v>1</v>
      </c>
      <c r="H177" s="7">
        <v>1</v>
      </c>
      <c r="I177" s="7">
        <v>1</v>
      </c>
      <c r="J177" s="7" t="s">
        <v>35</v>
      </c>
      <c r="K177" s="7">
        <v>1</v>
      </c>
      <c r="L177" s="7" t="s">
        <v>52</v>
      </c>
      <c r="M177" s="7">
        <f t="shared" si="11"/>
        <v>1</v>
      </c>
      <c r="N177" s="9" t="s">
        <v>36</v>
      </c>
      <c r="O177" s="7">
        <v>0</v>
      </c>
      <c r="P177" s="9" t="s">
        <v>37</v>
      </c>
      <c r="Q177" s="7" t="s">
        <v>38</v>
      </c>
      <c r="R177" s="7" t="s">
        <v>38</v>
      </c>
      <c r="S177" s="10" t="s">
        <v>1591</v>
      </c>
      <c r="T177" s="7"/>
      <c r="U177" s="7"/>
      <c r="V177" s="7"/>
      <c r="W177" s="7"/>
      <c r="X177" s="7">
        <v>3</v>
      </c>
      <c r="Y177" s="7"/>
      <c r="Z177" s="7"/>
      <c r="AA177" s="7"/>
      <c r="AB177" s="7">
        <f t="shared" si="13"/>
        <v>1</v>
      </c>
      <c r="AC177" s="7">
        <f t="shared" si="12"/>
        <v>1</v>
      </c>
      <c r="AD177" s="7"/>
      <c r="AE177" s="7"/>
      <c r="AF177" s="7"/>
      <c r="AG177" s="7"/>
      <c r="AH177" s="7"/>
      <c r="AI177" s="7"/>
      <c r="AJ177" s="7"/>
      <c r="AK177" s="7"/>
      <c r="AL177" s="9"/>
      <c r="AM177" s="7" t="s">
        <v>71</v>
      </c>
      <c r="AN177" s="7" t="s">
        <v>71</v>
      </c>
      <c r="AO177" s="12"/>
    </row>
    <row r="178" spans="1:41" s="11" customFormat="1" x14ac:dyDescent="0.25">
      <c r="A178" s="2">
        <v>177</v>
      </c>
      <c r="B178" s="7" t="s">
        <v>73</v>
      </c>
      <c r="C178" s="7" t="s">
        <v>100</v>
      </c>
      <c r="D178" s="7">
        <v>2</v>
      </c>
      <c r="E178" s="7">
        <v>2</v>
      </c>
      <c r="F178" s="8">
        <v>1</v>
      </c>
      <c r="G178" s="8">
        <v>1</v>
      </c>
      <c r="H178" s="7">
        <v>1</v>
      </c>
      <c r="I178" s="7">
        <v>1</v>
      </c>
      <c r="J178" s="7" t="s">
        <v>35</v>
      </c>
      <c r="K178" s="7">
        <v>2</v>
      </c>
      <c r="L178" s="7" t="s">
        <v>52</v>
      </c>
      <c r="M178" s="7">
        <f t="shared" si="11"/>
        <v>1</v>
      </c>
      <c r="N178" s="9" t="s">
        <v>34</v>
      </c>
      <c r="O178" s="7">
        <v>1</v>
      </c>
      <c r="P178" s="9" t="s">
        <v>33</v>
      </c>
      <c r="Q178" s="7" t="s">
        <v>38</v>
      </c>
      <c r="R178" s="7" t="s">
        <v>38</v>
      </c>
      <c r="S178" s="7"/>
      <c r="T178" s="7"/>
      <c r="U178" s="7"/>
      <c r="V178" s="7"/>
      <c r="W178" s="7"/>
      <c r="X178" s="7">
        <v>3</v>
      </c>
      <c r="Y178" s="7"/>
      <c r="Z178" s="7"/>
      <c r="AA178" s="7"/>
      <c r="AB178" s="7">
        <f t="shared" si="13"/>
        <v>1</v>
      </c>
      <c r="AC178" s="7">
        <f t="shared" si="12"/>
        <v>1</v>
      </c>
      <c r="AD178" s="7"/>
      <c r="AE178" s="7"/>
      <c r="AF178" s="7"/>
      <c r="AG178" s="7"/>
      <c r="AH178" s="7"/>
      <c r="AI178" s="7"/>
      <c r="AJ178" s="7"/>
      <c r="AK178" s="7"/>
      <c r="AL178" s="9"/>
      <c r="AM178" s="7" t="s">
        <v>71</v>
      </c>
      <c r="AN178" s="7" t="s">
        <v>71</v>
      </c>
      <c r="AO178" s="12"/>
    </row>
    <row r="179" spans="1:41" s="11" customFormat="1" x14ac:dyDescent="0.25">
      <c r="A179" s="2">
        <v>178</v>
      </c>
      <c r="B179" s="7" t="s">
        <v>103</v>
      </c>
      <c r="C179" s="7" t="s">
        <v>100</v>
      </c>
      <c r="D179" s="7">
        <v>6</v>
      </c>
      <c r="E179" s="7">
        <v>6</v>
      </c>
      <c r="F179" s="8">
        <v>1</v>
      </c>
      <c r="G179" s="8">
        <v>1</v>
      </c>
      <c r="H179" s="7">
        <v>1</v>
      </c>
      <c r="I179" s="7">
        <v>1</v>
      </c>
      <c r="J179" s="7" t="s">
        <v>35</v>
      </c>
      <c r="K179" s="7">
        <v>2</v>
      </c>
      <c r="L179" s="7" t="s">
        <v>52</v>
      </c>
      <c r="M179" s="7">
        <f t="shared" si="11"/>
        <v>1</v>
      </c>
      <c r="N179" s="9" t="s">
        <v>34</v>
      </c>
      <c r="O179" s="7">
        <v>4</v>
      </c>
      <c r="P179" s="9" t="s">
        <v>63</v>
      </c>
      <c r="Q179" s="7" t="s">
        <v>38</v>
      </c>
      <c r="R179" s="7" t="s">
        <v>38</v>
      </c>
      <c r="S179" s="10" t="s">
        <v>1592</v>
      </c>
      <c r="T179" s="7"/>
      <c r="U179" s="7"/>
      <c r="V179" s="7"/>
      <c r="W179" s="7"/>
      <c r="X179" s="7">
        <v>3</v>
      </c>
      <c r="Y179" s="7"/>
      <c r="Z179" s="7"/>
      <c r="AA179" s="7"/>
      <c r="AB179" s="7">
        <f t="shared" si="13"/>
        <v>1</v>
      </c>
      <c r="AC179" s="7">
        <f t="shared" si="12"/>
        <v>1</v>
      </c>
      <c r="AD179" s="7"/>
      <c r="AE179" s="7"/>
      <c r="AF179" s="7"/>
      <c r="AG179" s="7"/>
      <c r="AH179" s="7"/>
      <c r="AI179" s="7"/>
      <c r="AJ179" s="7"/>
      <c r="AK179" s="7"/>
      <c r="AL179" s="9"/>
      <c r="AM179" s="7" t="s">
        <v>71</v>
      </c>
      <c r="AN179" s="7" t="s">
        <v>71</v>
      </c>
      <c r="AO179" s="12"/>
    </row>
    <row r="180" spans="1:41" s="11" customFormat="1" ht="24" x14ac:dyDescent="0.25">
      <c r="A180" s="2">
        <v>179</v>
      </c>
      <c r="B180" s="7" t="s">
        <v>240</v>
      </c>
      <c r="C180" s="7" t="s">
        <v>44</v>
      </c>
      <c r="D180" s="7" t="s">
        <v>241</v>
      </c>
      <c r="E180" s="7">
        <f>157+50+47+39+23+22+20+19+18+9</f>
        <v>404</v>
      </c>
      <c r="F180" s="8">
        <v>1</v>
      </c>
      <c r="G180" s="8">
        <v>10</v>
      </c>
      <c r="H180" s="7" t="s">
        <v>243</v>
      </c>
      <c r="I180" s="7">
        <v>10</v>
      </c>
      <c r="J180" s="7" t="s">
        <v>35</v>
      </c>
      <c r="K180" s="7">
        <v>1</v>
      </c>
      <c r="L180" s="7" t="s">
        <v>52</v>
      </c>
      <c r="M180" s="7">
        <f t="shared" si="11"/>
        <v>1</v>
      </c>
      <c r="N180" s="9" t="s">
        <v>82</v>
      </c>
      <c r="O180" s="7">
        <v>0</v>
      </c>
      <c r="P180" s="9" t="s">
        <v>34</v>
      </c>
      <c r="Q180" s="7" t="s">
        <v>38</v>
      </c>
      <c r="R180" s="7" t="s">
        <v>38</v>
      </c>
      <c r="S180" s="10" t="s">
        <v>1593</v>
      </c>
      <c r="T180" s="7">
        <v>25</v>
      </c>
      <c r="U180" s="7">
        <v>25</v>
      </c>
      <c r="V180" s="7">
        <v>150</v>
      </c>
      <c r="W180" s="7" t="s">
        <v>244</v>
      </c>
      <c r="X180" s="7">
        <v>10</v>
      </c>
      <c r="Y180" s="7">
        <v>60</v>
      </c>
      <c r="Z180" s="7">
        <v>60</v>
      </c>
      <c r="AA180" s="7">
        <v>106</v>
      </c>
      <c r="AB180" s="7">
        <f t="shared" si="13"/>
        <v>31.666666666666668</v>
      </c>
      <c r="AC180" s="7">
        <f t="shared" si="12"/>
        <v>31.666666666666668</v>
      </c>
      <c r="AD180" s="7">
        <v>1</v>
      </c>
      <c r="AE180" s="7"/>
      <c r="AF180" s="7" t="s">
        <v>40</v>
      </c>
      <c r="AG180" s="7" t="s">
        <v>138</v>
      </c>
      <c r="AH180" s="7" t="s">
        <v>38</v>
      </c>
      <c r="AI180" s="7"/>
      <c r="AJ180" s="10" t="s">
        <v>2340</v>
      </c>
      <c r="AK180" s="7"/>
      <c r="AL180" s="9" t="s">
        <v>38</v>
      </c>
      <c r="AM180" s="7" t="s">
        <v>340</v>
      </c>
      <c r="AN180" s="7" t="s">
        <v>2848</v>
      </c>
      <c r="AO180" s="10" t="s">
        <v>2529</v>
      </c>
    </row>
    <row r="181" spans="1:41" s="11" customFormat="1" ht="24" x14ac:dyDescent="0.25">
      <c r="A181" s="2">
        <v>180</v>
      </c>
      <c r="B181" s="7" t="s">
        <v>240</v>
      </c>
      <c r="C181" s="7" t="s">
        <v>245</v>
      </c>
      <c r="D181" s="7">
        <v>49</v>
      </c>
      <c r="E181" s="7">
        <v>49</v>
      </c>
      <c r="F181" s="8">
        <v>1</v>
      </c>
      <c r="G181" s="8">
        <v>1</v>
      </c>
      <c r="H181" s="7">
        <v>1</v>
      </c>
      <c r="I181" s="7">
        <v>1</v>
      </c>
      <c r="J181" s="7" t="s">
        <v>35</v>
      </c>
      <c r="K181" s="7">
        <v>2</v>
      </c>
      <c r="L181" s="7" t="s">
        <v>52</v>
      </c>
      <c r="M181" s="7">
        <f t="shared" si="11"/>
        <v>1</v>
      </c>
      <c r="N181" s="9" t="s">
        <v>37</v>
      </c>
      <c r="O181" s="7">
        <v>3</v>
      </c>
      <c r="P181" s="9" t="s">
        <v>63</v>
      </c>
      <c r="Q181" s="7" t="s">
        <v>38</v>
      </c>
      <c r="R181" s="7" t="s">
        <v>38</v>
      </c>
      <c r="S181" s="7" t="s">
        <v>246</v>
      </c>
      <c r="T181" s="7">
        <v>15</v>
      </c>
      <c r="U181" s="7">
        <v>15</v>
      </c>
      <c r="V181" s="7">
        <v>120</v>
      </c>
      <c r="W181" s="7" t="s">
        <v>88</v>
      </c>
      <c r="X181" s="7"/>
      <c r="Y181" s="7"/>
      <c r="Z181" s="7"/>
      <c r="AA181" s="7"/>
      <c r="AB181" s="7">
        <f t="shared" si="13"/>
        <v>5</v>
      </c>
      <c r="AC181" s="7">
        <f t="shared" si="12"/>
        <v>5</v>
      </c>
      <c r="AD181" s="7"/>
      <c r="AE181" s="7">
        <v>1</v>
      </c>
      <c r="AF181" s="7" t="s">
        <v>40</v>
      </c>
      <c r="AG181" s="7" t="s">
        <v>247</v>
      </c>
      <c r="AH181" s="7"/>
      <c r="AI181" s="7"/>
      <c r="AJ181" s="7"/>
      <c r="AK181" s="7"/>
      <c r="AL181" s="9"/>
      <c r="AM181" s="7" t="s">
        <v>340</v>
      </c>
      <c r="AN181" s="7" t="s">
        <v>2848</v>
      </c>
      <c r="AO181" s="7"/>
    </row>
    <row r="182" spans="1:41" s="11" customFormat="1" x14ac:dyDescent="0.25">
      <c r="A182" s="2">
        <v>181</v>
      </c>
      <c r="B182" s="7" t="s">
        <v>240</v>
      </c>
      <c r="C182" s="7" t="s">
        <v>50</v>
      </c>
      <c r="D182" s="7">
        <v>56</v>
      </c>
      <c r="E182" s="7">
        <v>56</v>
      </c>
      <c r="F182" s="8">
        <v>1</v>
      </c>
      <c r="G182" s="8">
        <v>1</v>
      </c>
      <c r="H182" s="7">
        <v>1</v>
      </c>
      <c r="I182" s="7">
        <v>1</v>
      </c>
      <c r="J182" s="7" t="s">
        <v>35</v>
      </c>
      <c r="K182" s="7">
        <v>2</v>
      </c>
      <c r="L182" s="7" t="s">
        <v>52</v>
      </c>
      <c r="M182" s="7">
        <f t="shared" si="11"/>
        <v>1</v>
      </c>
      <c r="N182" s="9" t="s">
        <v>34</v>
      </c>
      <c r="O182" s="7">
        <v>1</v>
      </c>
      <c r="P182" s="9" t="s">
        <v>33</v>
      </c>
      <c r="Q182" s="7" t="s">
        <v>38</v>
      </c>
      <c r="R182" s="7" t="s">
        <v>38</v>
      </c>
      <c r="S182" s="10" t="s">
        <v>1594</v>
      </c>
      <c r="T182" s="7"/>
      <c r="U182" s="7"/>
      <c r="V182" s="7"/>
      <c r="W182" s="7"/>
      <c r="X182" s="7"/>
      <c r="Y182" s="7">
        <v>27</v>
      </c>
      <c r="Z182" s="7">
        <v>27</v>
      </c>
      <c r="AA182" s="7">
        <v>100</v>
      </c>
      <c r="AB182" s="7">
        <f t="shared" si="13"/>
        <v>9</v>
      </c>
      <c r="AC182" s="7">
        <f t="shared" si="12"/>
        <v>9</v>
      </c>
      <c r="AD182" s="7"/>
      <c r="AE182" s="7"/>
      <c r="AF182" s="7"/>
      <c r="AG182" s="7"/>
      <c r="AH182" s="7"/>
      <c r="AI182" s="7"/>
      <c r="AJ182" s="7"/>
      <c r="AK182" s="7"/>
      <c r="AL182" s="9"/>
      <c r="AM182" s="7" t="s">
        <v>71</v>
      </c>
      <c r="AN182" s="7" t="s">
        <v>71</v>
      </c>
      <c r="AO182" s="7"/>
    </row>
    <row r="183" spans="1:41" s="11" customFormat="1" x14ac:dyDescent="0.25">
      <c r="A183" s="2">
        <v>182</v>
      </c>
      <c r="B183" s="7" t="s">
        <v>240</v>
      </c>
      <c r="C183" s="7" t="s">
        <v>50</v>
      </c>
      <c r="D183" s="7">
        <v>45</v>
      </c>
      <c r="E183" s="7">
        <v>45</v>
      </c>
      <c r="F183" s="8">
        <v>1</v>
      </c>
      <c r="G183" s="8">
        <v>1</v>
      </c>
      <c r="H183" s="7">
        <v>1</v>
      </c>
      <c r="I183" s="7">
        <v>1</v>
      </c>
      <c r="J183" s="7" t="s">
        <v>35</v>
      </c>
      <c r="K183" s="7">
        <v>2</v>
      </c>
      <c r="L183" s="7" t="s">
        <v>52</v>
      </c>
      <c r="M183" s="7">
        <f t="shared" si="11"/>
        <v>1</v>
      </c>
      <c r="N183" s="9" t="s">
        <v>36</v>
      </c>
      <c r="O183" s="7">
        <v>1</v>
      </c>
      <c r="P183" s="9" t="s">
        <v>33</v>
      </c>
      <c r="Q183" s="7" t="s">
        <v>38</v>
      </c>
      <c r="R183" s="7" t="s">
        <v>38</v>
      </c>
      <c r="S183" s="10" t="s">
        <v>1595</v>
      </c>
      <c r="T183" s="7"/>
      <c r="U183" s="7"/>
      <c r="V183" s="7"/>
      <c r="W183" s="7"/>
      <c r="X183" s="7"/>
      <c r="Y183" s="7">
        <v>35</v>
      </c>
      <c r="Z183" s="7">
        <v>35</v>
      </c>
      <c r="AA183" s="7">
        <v>85</v>
      </c>
      <c r="AB183" s="7">
        <f t="shared" si="13"/>
        <v>11.666666666666666</v>
      </c>
      <c r="AC183" s="7">
        <f t="shared" si="12"/>
        <v>11.666666666666666</v>
      </c>
      <c r="AD183" s="7"/>
      <c r="AE183" s="7"/>
      <c r="AF183" s="7"/>
      <c r="AG183" s="7"/>
      <c r="AH183" s="7"/>
      <c r="AI183" s="7"/>
      <c r="AJ183" s="7"/>
      <c r="AK183" s="7"/>
      <c r="AL183" s="9"/>
      <c r="AM183" s="7" t="s">
        <v>71</v>
      </c>
      <c r="AN183" s="7" t="s">
        <v>71</v>
      </c>
      <c r="AO183" s="7"/>
    </row>
    <row r="184" spans="1:41" s="11" customFormat="1" x14ac:dyDescent="0.25">
      <c r="A184" s="2">
        <v>183</v>
      </c>
      <c r="B184" s="7" t="s">
        <v>240</v>
      </c>
      <c r="C184" s="7" t="s">
        <v>50</v>
      </c>
      <c r="D184" s="7">
        <v>23</v>
      </c>
      <c r="E184" s="7">
        <v>23</v>
      </c>
      <c r="F184" s="8">
        <v>1</v>
      </c>
      <c r="G184" s="8">
        <v>1</v>
      </c>
      <c r="H184" s="7">
        <v>1</v>
      </c>
      <c r="I184" s="7">
        <v>1</v>
      </c>
      <c r="J184" s="7" t="s">
        <v>35</v>
      </c>
      <c r="K184" s="7">
        <v>2</v>
      </c>
      <c r="L184" s="7" t="s">
        <v>52</v>
      </c>
      <c r="M184" s="7">
        <f t="shared" si="11"/>
        <v>1</v>
      </c>
      <c r="N184" s="9" t="s">
        <v>34</v>
      </c>
      <c r="O184" s="7">
        <v>0</v>
      </c>
      <c r="P184" s="9" t="s">
        <v>63</v>
      </c>
      <c r="Q184" s="7" t="s">
        <v>38</v>
      </c>
      <c r="R184" s="7" t="s">
        <v>38</v>
      </c>
      <c r="S184" s="10" t="s">
        <v>1596</v>
      </c>
      <c r="T184" s="7"/>
      <c r="U184" s="7"/>
      <c r="V184" s="7"/>
      <c r="W184" s="7"/>
      <c r="X184" s="7"/>
      <c r="Y184" s="7">
        <v>20</v>
      </c>
      <c r="Z184" s="7">
        <v>20</v>
      </c>
      <c r="AA184" s="7">
        <v>80</v>
      </c>
      <c r="AB184" s="7">
        <f t="shared" si="13"/>
        <v>6.666666666666667</v>
      </c>
      <c r="AC184" s="7">
        <f t="shared" si="12"/>
        <v>6.666666666666667</v>
      </c>
      <c r="AD184" s="7"/>
      <c r="AE184" s="7"/>
      <c r="AF184" s="7"/>
      <c r="AG184" s="7"/>
      <c r="AH184" s="7"/>
      <c r="AI184" s="7"/>
      <c r="AJ184" s="7"/>
      <c r="AK184" s="7"/>
      <c r="AL184" s="9"/>
      <c r="AM184" s="7" t="s">
        <v>71</v>
      </c>
      <c r="AN184" s="7" t="s">
        <v>71</v>
      </c>
      <c r="AO184" s="12"/>
    </row>
    <row r="185" spans="1:41" s="11" customFormat="1" x14ac:dyDescent="0.25">
      <c r="A185" s="2">
        <v>184</v>
      </c>
      <c r="B185" s="7" t="s">
        <v>240</v>
      </c>
      <c r="C185" s="7" t="s">
        <v>50</v>
      </c>
      <c r="D185" s="7">
        <v>21</v>
      </c>
      <c r="E185" s="7">
        <v>21</v>
      </c>
      <c r="F185" s="8">
        <v>1</v>
      </c>
      <c r="G185" s="8">
        <v>1</v>
      </c>
      <c r="H185" s="7">
        <v>1</v>
      </c>
      <c r="I185" s="7">
        <v>1</v>
      </c>
      <c r="J185" s="7" t="s">
        <v>35</v>
      </c>
      <c r="K185" s="7">
        <v>2</v>
      </c>
      <c r="L185" s="7" t="s">
        <v>52</v>
      </c>
      <c r="M185" s="7">
        <f t="shared" si="11"/>
        <v>1</v>
      </c>
      <c r="N185" s="9" t="s">
        <v>34</v>
      </c>
      <c r="O185" s="7">
        <v>1</v>
      </c>
      <c r="P185" s="9" t="s">
        <v>63</v>
      </c>
      <c r="Q185" s="7" t="s">
        <v>38</v>
      </c>
      <c r="R185" s="7" t="s">
        <v>38</v>
      </c>
      <c r="S185" s="10" t="s">
        <v>1597</v>
      </c>
      <c r="T185" s="7"/>
      <c r="U185" s="7"/>
      <c r="V185" s="7"/>
      <c r="W185" s="7"/>
      <c r="X185" s="7"/>
      <c r="Y185" s="7">
        <v>6</v>
      </c>
      <c r="Z185" s="7">
        <v>6</v>
      </c>
      <c r="AA185" s="7">
        <v>70</v>
      </c>
      <c r="AB185" s="7">
        <f t="shared" si="13"/>
        <v>2</v>
      </c>
      <c r="AC185" s="7">
        <f t="shared" si="12"/>
        <v>2</v>
      </c>
      <c r="AD185" s="7"/>
      <c r="AE185" s="7"/>
      <c r="AF185" s="7"/>
      <c r="AG185" s="7"/>
      <c r="AH185" s="7"/>
      <c r="AI185" s="7"/>
      <c r="AJ185" s="7"/>
      <c r="AK185" s="7"/>
      <c r="AL185" s="9"/>
      <c r="AM185" s="7" t="s">
        <v>71</v>
      </c>
      <c r="AN185" s="7" t="s">
        <v>71</v>
      </c>
      <c r="AO185" s="7"/>
    </row>
    <row r="186" spans="1:41" s="11" customFormat="1" x14ac:dyDescent="0.25">
      <c r="A186" s="2">
        <v>185</v>
      </c>
      <c r="B186" s="7" t="s">
        <v>240</v>
      </c>
      <c r="C186" s="7" t="s">
        <v>50</v>
      </c>
      <c r="D186" s="7">
        <v>9</v>
      </c>
      <c r="E186" s="7">
        <v>9</v>
      </c>
      <c r="F186" s="8">
        <v>1</v>
      </c>
      <c r="G186" s="8">
        <v>1</v>
      </c>
      <c r="H186" s="7">
        <v>1</v>
      </c>
      <c r="I186" s="7">
        <v>1</v>
      </c>
      <c r="J186" s="7" t="s">
        <v>35</v>
      </c>
      <c r="K186" s="7">
        <v>1</v>
      </c>
      <c r="L186" s="7" t="s">
        <v>52</v>
      </c>
      <c r="M186" s="7">
        <f t="shared" si="11"/>
        <v>1</v>
      </c>
      <c r="N186" s="9" t="s">
        <v>34</v>
      </c>
      <c r="O186" s="7">
        <v>0</v>
      </c>
      <c r="P186" s="9" t="s">
        <v>63</v>
      </c>
      <c r="Q186" s="7" t="s">
        <v>38</v>
      </c>
      <c r="R186" s="7" t="s">
        <v>38</v>
      </c>
      <c r="S186" s="7"/>
      <c r="T186" s="7"/>
      <c r="U186" s="7"/>
      <c r="V186" s="7"/>
      <c r="W186" s="7"/>
      <c r="X186" s="7"/>
      <c r="Y186" s="7">
        <v>5</v>
      </c>
      <c r="Z186" s="7">
        <v>5</v>
      </c>
      <c r="AA186" s="7">
        <v>80</v>
      </c>
      <c r="AB186" s="7">
        <f t="shared" si="13"/>
        <v>1.6666666666666667</v>
      </c>
      <c r="AC186" s="7">
        <f t="shared" si="12"/>
        <v>1.6666666666666667</v>
      </c>
      <c r="AD186" s="7"/>
      <c r="AE186" s="7">
        <v>1</v>
      </c>
      <c r="AF186" s="7" t="s">
        <v>40</v>
      </c>
      <c r="AG186" s="7"/>
      <c r="AH186" s="7"/>
      <c r="AI186" s="7"/>
      <c r="AJ186" s="7"/>
      <c r="AK186" s="7"/>
      <c r="AL186" s="9"/>
      <c r="AM186" s="7" t="s">
        <v>71</v>
      </c>
      <c r="AN186" s="7" t="s">
        <v>71</v>
      </c>
      <c r="AO186" s="7"/>
    </row>
    <row r="187" spans="1:41" s="11" customFormat="1" ht="24" x14ac:dyDescent="0.25">
      <c r="A187" s="2">
        <v>186</v>
      </c>
      <c r="B187" s="7" t="s">
        <v>240</v>
      </c>
      <c r="C187" s="7" t="s">
        <v>245</v>
      </c>
      <c r="D187" s="7">
        <v>13</v>
      </c>
      <c r="E187" s="7">
        <v>13</v>
      </c>
      <c r="F187" s="8">
        <v>1</v>
      </c>
      <c r="G187" s="8">
        <v>1</v>
      </c>
      <c r="H187" s="7">
        <v>1</v>
      </c>
      <c r="I187" s="7">
        <v>1</v>
      </c>
      <c r="J187" s="7" t="s">
        <v>35</v>
      </c>
      <c r="K187" s="7">
        <v>2</v>
      </c>
      <c r="L187" s="7" t="s">
        <v>52</v>
      </c>
      <c r="M187" s="7">
        <f t="shared" si="11"/>
        <v>1</v>
      </c>
      <c r="N187" s="9" t="s">
        <v>34</v>
      </c>
      <c r="O187" s="7">
        <v>3</v>
      </c>
      <c r="P187" s="9" t="s">
        <v>33</v>
      </c>
      <c r="Q187" s="7" t="s">
        <v>38</v>
      </c>
      <c r="R187" s="7" t="s">
        <v>38</v>
      </c>
      <c r="S187" s="7" t="s">
        <v>1321</v>
      </c>
      <c r="T187" s="7">
        <v>12</v>
      </c>
      <c r="U187" s="7">
        <v>12</v>
      </c>
      <c r="V187" s="7">
        <v>125</v>
      </c>
      <c r="W187" s="7" t="s">
        <v>88</v>
      </c>
      <c r="X187" s="7"/>
      <c r="Y187" s="7"/>
      <c r="Z187" s="7"/>
      <c r="AA187" s="7"/>
      <c r="AB187" s="7">
        <f t="shared" si="13"/>
        <v>4</v>
      </c>
      <c r="AC187" s="7">
        <f t="shared" si="12"/>
        <v>4</v>
      </c>
      <c r="AD187" s="7"/>
      <c r="AE187" s="7">
        <v>1</v>
      </c>
      <c r="AF187" s="7" t="s">
        <v>40</v>
      </c>
      <c r="AG187" s="7" t="s">
        <v>247</v>
      </c>
      <c r="AH187" s="7"/>
      <c r="AI187" s="7"/>
      <c r="AJ187" s="7"/>
      <c r="AK187" s="7"/>
      <c r="AL187" s="9"/>
      <c r="AM187" s="7" t="s">
        <v>248</v>
      </c>
      <c r="AN187" s="7" t="s">
        <v>42</v>
      </c>
      <c r="AO187" s="7"/>
    </row>
    <row r="188" spans="1:41" s="11" customFormat="1" x14ac:dyDescent="0.25">
      <c r="A188" s="2">
        <v>187</v>
      </c>
      <c r="B188" s="7" t="s">
        <v>240</v>
      </c>
      <c r="C188" s="7" t="s">
        <v>104</v>
      </c>
      <c r="D188" s="7">
        <v>7</v>
      </c>
      <c r="E188" s="7">
        <v>7</v>
      </c>
      <c r="F188" s="8">
        <v>1</v>
      </c>
      <c r="G188" s="8">
        <v>1</v>
      </c>
      <c r="H188" s="7">
        <v>1</v>
      </c>
      <c r="I188" s="7">
        <v>1</v>
      </c>
      <c r="J188" s="7" t="s">
        <v>35</v>
      </c>
      <c r="K188" s="7">
        <v>2</v>
      </c>
      <c r="L188" s="7" t="s">
        <v>52</v>
      </c>
      <c r="M188" s="7">
        <f t="shared" si="11"/>
        <v>1</v>
      </c>
      <c r="N188" s="9" t="s">
        <v>37</v>
      </c>
      <c r="O188" s="7">
        <v>1</v>
      </c>
      <c r="P188" s="9" t="s">
        <v>63</v>
      </c>
      <c r="Q188" s="7" t="s">
        <v>38</v>
      </c>
      <c r="R188" s="7" t="s">
        <v>38</v>
      </c>
      <c r="S188" s="7"/>
      <c r="T188" s="7"/>
      <c r="U188" s="7"/>
      <c r="V188" s="7"/>
      <c r="W188" s="7"/>
      <c r="X188" s="7">
        <v>3</v>
      </c>
      <c r="Y188" s="7"/>
      <c r="Z188" s="7"/>
      <c r="AA188" s="7"/>
      <c r="AB188" s="7">
        <f t="shared" ref="AB188:AB193" si="14">(U188+X188+Z188)/3</f>
        <v>1</v>
      </c>
      <c r="AC188" s="7">
        <f t="shared" si="12"/>
        <v>1</v>
      </c>
      <c r="AD188" s="7"/>
      <c r="AE188" s="7">
        <v>1</v>
      </c>
      <c r="AF188" s="7" t="s">
        <v>40</v>
      </c>
      <c r="AG188" s="7"/>
      <c r="AH188" s="7" t="s">
        <v>38</v>
      </c>
      <c r="AI188" s="7"/>
      <c r="AJ188" s="7"/>
      <c r="AK188" s="7"/>
      <c r="AL188" s="9"/>
      <c r="AM188" s="7" t="s">
        <v>71</v>
      </c>
      <c r="AN188" s="7" t="s">
        <v>71</v>
      </c>
      <c r="AO188" s="7"/>
    </row>
    <row r="189" spans="1:41" s="11" customFormat="1" x14ac:dyDescent="0.25">
      <c r="A189" s="2">
        <v>188</v>
      </c>
      <c r="B189" s="7" t="s">
        <v>240</v>
      </c>
      <c r="C189" s="7" t="s">
        <v>119</v>
      </c>
      <c r="D189" s="7">
        <v>40</v>
      </c>
      <c r="E189" s="7">
        <v>40</v>
      </c>
      <c r="F189" s="8">
        <v>1</v>
      </c>
      <c r="G189" s="8">
        <v>2</v>
      </c>
      <c r="H189" s="7">
        <v>2</v>
      </c>
      <c r="I189" s="7">
        <v>2</v>
      </c>
      <c r="J189" s="7" t="s">
        <v>35</v>
      </c>
      <c r="K189" s="7">
        <v>2</v>
      </c>
      <c r="L189" s="7" t="s">
        <v>52</v>
      </c>
      <c r="M189" s="7">
        <f t="shared" si="11"/>
        <v>1</v>
      </c>
      <c r="N189" s="9" t="s">
        <v>34</v>
      </c>
      <c r="O189" s="7">
        <v>0</v>
      </c>
      <c r="P189" s="9" t="s">
        <v>37</v>
      </c>
      <c r="Q189" s="7" t="s">
        <v>38</v>
      </c>
      <c r="R189" s="7" t="s">
        <v>38</v>
      </c>
      <c r="S189" s="10" t="s">
        <v>246</v>
      </c>
      <c r="T189" s="7"/>
      <c r="U189" s="7"/>
      <c r="V189" s="7"/>
      <c r="W189" s="7"/>
      <c r="X189" s="7">
        <v>3</v>
      </c>
      <c r="Y189" s="7"/>
      <c r="Z189" s="7"/>
      <c r="AA189" s="7"/>
      <c r="AB189" s="7">
        <f t="shared" si="14"/>
        <v>1</v>
      </c>
      <c r="AC189" s="7">
        <f t="shared" si="12"/>
        <v>1</v>
      </c>
      <c r="AD189" s="7">
        <v>1</v>
      </c>
      <c r="AE189" s="7"/>
      <c r="AF189" s="7" t="s">
        <v>40</v>
      </c>
      <c r="AG189" s="7" t="s">
        <v>162</v>
      </c>
      <c r="AH189" s="7"/>
      <c r="AI189" s="7"/>
      <c r="AJ189" s="7"/>
      <c r="AK189" s="7"/>
      <c r="AL189" s="9"/>
      <c r="AM189" s="7" t="s">
        <v>71</v>
      </c>
      <c r="AN189" s="7" t="s">
        <v>71</v>
      </c>
      <c r="AO189" s="12"/>
    </row>
    <row r="190" spans="1:41" s="11" customFormat="1" x14ac:dyDescent="0.25">
      <c r="A190" s="2">
        <v>189</v>
      </c>
      <c r="B190" s="7" t="s">
        <v>240</v>
      </c>
      <c r="C190" s="7" t="s">
        <v>104</v>
      </c>
      <c r="D190" s="7">
        <v>8</v>
      </c>
      <c r="E190" s="7">
        <v>8</v>
      </c>
      <c r="F190" s="8">
        <v>1</v>
      </c>
      <c r="G190" s="8">
        <v>1</v>
      </c>
      <c r="H190" s="7">
        <v>1</v>
      </c>
      <c r="I190" s="7">
        <v>1</v>
      </c>
      <c r="J190" s="7" t="s">
        <v>35</v>
      </c>
      <c r="K190" s="7">
        <v>2</v>
      </c>
      <c r="L190" s="7" t="s">
        <v>52</v>
      </c>
      <c r="M190" s="7">
        <f t="shared" si="11"/>
        <v>1</v>
      </c>
      <c r="N190" s="9" t="s">
        <v>36</v>
      </c>
      <c r="O190" s="7">
        <v>0</v>
      </c>
      <c r="P190" s="9" t="s">
        <v>63</v>
      </c>
      <c r="Q190" s="7" t="s">
        <v>38</v>
      </c>
      <c r="R190" s="7" t="s">
        <v>38</v>
      </c>
      <c r="S190" s="7"/>
      <c r="T190" s="7"/>
      <c r="U190" s="7"/>
      <c r="V190" s="7"/>
      <c r="W190" s="7"/>
      <c r="X190" s="7">
        <v>3</v>
      </c>
      <c r="Y190" s="7"/>
      <c r="Z190" s="7"/>
      <c r="AA190" s="7"/>
      <c r="AB190" s="7">
        <f t="shared" si="14"/>
        <v>1</v>
      </c>
      <c r="AC190" s="7">
        <f t="shared" si="12"/>
        <v>1</v>
      </c>
      <c r="AD190" s="7">
        <v>1</v>
      </c>
      <c r="AE190" s="7"/>
      <c r="AF190" s="7" t="s">
        <v>40</v>
      </c>
      <c r="AG190" s="7" t="s">
        <v>247</v>
      </c>
      <c r="AH190" s="7"/>
      <c r="AI190" s="7"/>
      <c r="AJ190" s="7"/>
      <c r="AK190" s="7"/>
      <c r="AL190" s="9"/>
      <c r="AM190" s="7" t="s">
        <v>71</v>
      </c>
      <c r="AN190" s="7" t="s">
        <v>71</v>
      </c>
      <c r="AO190" s="12"/>
    </row>
    <row r="191" spans="1:41" s="11" customFormat="1" x14ac:dyDescent="0.25">
      <c r="A191" s="2">
        <v>190</v>
      </c>
      <c r="B191" s="7" t="s">
        <v>240</v>
      </c>
      <c r="C191" s="7" t="s">
        <v>104</v>
      </c>
      <c r="D191" s="7">
        <v>12</v>
      </c>
      <c r="E191" s="7">
        <v>12</v>
      </c>
      <c r="F191" s="8">
        <v>1</v>
      </c>
      <c r="G191" s="8">
        <v>1</v>
      </c>
      <c r="H191" s="7">
        <v>1</v>
      </c>
      <c r="I191" s="7">
        <v>1</v>
      </c>
      <c r="J191" s="7" t="s">
        <v>35</v>
      </c>
      <c r="K191" s="7">
        <v>1</v>
      </c>
      <c r="L191" s="7" t="s">
        <v>52</v>
      </c>
      <c r="M191" s="7">
        <f t="shared" si="11"/>
        <v>1</v>
      </c>
      <c r="N191" s="9" t="s">
        <v>36</v>
      </c>
      <c r="O191" s="7">
        <v>1</v>
      </c>
      <c r="P191" s="9" t="s">
        <v>33</v>
      </c>
      <c r="Q191" s="7" t="s">
        <v>38</v>
      </c>
      <c r="R191" s="7" t="s">
        <v>38</v>
      </c>
      <c r="S191" s="7"/>
      <c r="T191" s="7"/>
      <c r="U191" s="7"/>
      <c r="V191" s="7"/>
      <c r="W191" s="7"/>
      <c r="X191" s="7">
        <v>3</v>
      </c>
      <c r="Y191" s="7"/>
      <c r="Z191" s="7"/>
      <c r="AA191" s="7"/>
      <c r="AB191" s="7">
        <f t="shared" si="14"/>
        <v>1</v>
      </c>
      <c r="AC191" s="7">
        <f t="shared" si="12"/>
        <v>1</v>
      </c>
      <c r="AD191" s="7">
        <v>1</v>
      </c>
      <c r="AE191" s="7"/>
      <c r="AF191" s="7" t="s">
        <v>40</v>
      </c>
      <c r="AG191" s="7" t="s">
        <v>120</v>
      </c>
      <c r="AH191" s="7"/>
      <c r="AI191" s="7"/>
      <c r="AJ191" s="7"/>
      <c r="AK191" s="7"/>
      <c r="AL191" s="9"/>
      <c r="AM191" s="7" t="s">
        <v>71</v>
      </c>
      <c r="AN191" s="7" t="s">
        <v>71</v>
      </c>
      <c r="AO191" s="12"/>
    </row>
    <row r="192" spans="1:41" s="11" customFormat="1" x14ac:dyDescent="0.25">
      <c r="A192" s="2">
        <v>191</v>
      </c>
      <c r="B192" s="7" t="s">
        <v>240</v>
      </c>
      <c r="C192" s="7" t="s">
        <v>104</v>
      </c>
      <c r="D192" s="7">
        <v>9</v>
      </c>
      <c r="E192" s="7">
        <v>9</v>
      </c>
      <c r="F192" s="8">
        <v>1</v>
      </c>
      <c r="G192" s="8">
        <v>1</v>
      </c>
      <c r="H192" s="7">
        <v>1</v>
      </c>
      <c r="I192" s="7">
        <v>1</v>
      </c>
      <c r="J192" s="7" t="s">
        <v>35</v>
      </c>
      <c r="K192" s="7">
        <v>2</v>
      </c>
      <c r="L192" s="7" t="s">
        <v>52</v>
      </c>
      <c r="M192" s="7">
        <f t="shared" si="11"/>
        <v>1</v>
      </c>
      <c r="N192" s="9" t="s">
        <v>34</v>
      </c>
      <c r="O192" s="7">
        <v>1</v>
      </c>
      <c r="P192" s="9" t="s">
        <v>33</v>
      </c>
      <c r="Q192" s="7" t="s">
        <v>38</v>
      </c>
      <c r="R192" s="7" t="s">
        <v>38</v>
      </c>
      <c r="S192" s="10" t="s">
        <v>1546</v>
      </c>
      <c r="T192" s="7"/>
      <c r="U192" s="7"/>
      <c r="V192" s="7"/>
      <c r="W192" s="7"/>
      <c r="X192" s="7">
        <v>3</v>
      </c>
      <c r="Y192" s="7"/>
      <c r="Z192" s="7"/>
      <c r="AA192" s="7"/>
      <c r="AB192" s="7">
        <f t="shared" si="14"/>
        <v>1</v>
      </c>
      <c r="AC192" s="7">
        <f t="shared" si="12"/>
        <v>1</v>
      </c>
      <c r="AD192" s="7">
        <v>1</v>
      </c>
      <c r="AE192" s="7"/>
      <c r="AF192" s="7" t="s">
        <v>40</v>
      </c>
      <c r="AG192" s="7"/>
      <c r="AH192" s="7"/>
      <c r="AI192" s="7"/>
      <c r="AJ192" s="7"/>
      <c r="AK192" s="7"/>
      <c r="AL192" s="9"/>
      <c r="AM192" s="7" t="s">
        <v>71</v>
      </c>
      <c r="AN192" s="7" t="s">
        <v>71</v>
      </c>
      <c r="AO192" s="12"/>
    </row>
    <row r="193" spans="1:41" s="11" customFormat="1" x14ac:dyDescent="0.25">
      <c r="A193" s="2">
        <v>192</v>
      </c>
      <c r="B193" s="7" t="s">
        <v>240</v>
      </c>
      <c r="C193" s="7" t="s">
        <v>249</v>
      </c>
      <c r="D193" s="7" t="s">
        <v>250</v>
      </c>
      <c r="E193" s="7">
        <v>15</v>
      </c>
      <c r="F193" s="8">
        <v>2</v>
      </c>
      <c r="G193" s="8">
        <v>2</v>
      </c>
      <c r="H193" s="7" t="s">
        <v>87</v>
      </c>
      <c r="I193" s="7">
        <v>2</v>
      </c>
      <c r="J193" s="7" t="s">
        <v>35</v>
      </c>
      <c r="K193" s="7">
        <v>2</v>
      </c>
      <c r="L193" s="7" t="s">
        <v>52</v>
      </c>
      <c r="M193" s="7">
        <f t="shared" si="11"/>
        <v>2</v>
      </c>
      <c r="N193" s="9" t="s">
        <v>34</v>
      </c>
      <c r="O193" s="7">
        <v>0</v>
      </c>
      <c r="P193" s="9" t="s">
        <v>63</v>
      </c>
      <c r="Q193" s="7" t="s">
        <v>38</v>
      </c>
      <c r="R193" s="7" t="s">
        <v>38</v>
      </c>
      <c r="S193" s="10" t="s">
        <v>1598</v>
      </c>
      <c r="T193" s="7"/>
      <c r="U193" s="7"/>
      <c r="V193" s="7"/>
      <c r="W193" s="7"/>
      <c r="X193" s="7">
        <v>3</v>
      </c>
      <c r="Y193" s="7"/>
      <c r="Z193" s="7"/>
      <c r="AA193" s="7"/>
      <c r="AB193" s="7">
        <f t="shared" si="14"/>
        <v>1</v>
      </c>
      <c r="AC193" s="7">
        <f t="shared" si="12"/>
        <v>1</v>
      </c>
      <c r="AD193" s="7">
        <v>1</v>
      </c>
      <c r="AE193" s="7"/>
      <c r="AF193" s="7" t="s">
        <v>40</v>
      </c>
      <c r="AG193" s="7"/>
      <c r="AH193" s="7"/>
      <c r="AI193" s="7"/>
      <c r="AJ193" s="7"/>
      <c r="AK193" s="10" t="s">
        <v>2435</v>
      </c>
      <c r="AL193" s="9"/>
      <c r="AM193" s="7" t="s">
        <v>71</v>
      </c>
      <c r="AN193" s="7" t="s">
        <v>71</v>
      </c>
      <c r="AO193" s="12"/>
    </row>
    <row r="194" spans="1:41" s="11" customFormat="1" x14ac:dyDescent="0.25">
      <c r="A194" s="2">
        <v>193</v>
      </c>
      <c r="B194" s="7" t="s">
        <v>240</v>
      </c>
      <c r="C194" s="7" t="s">
        <v>115</v>
      </c>
      <c r="D194" s="7" t="s">
        <v>251</v>
      </c>
      <c r="E194" s="7">
        <v>15</v>
      </c>
      <c r="F194" s="8">
        <v>3</v>
      </c>
      <c r="G194" s="8">
        <v>3</v>
      </c>
      <c r="H194" s="7" t="s">
        <v>97</v>
      </c>
      <c r="I194" s="7">
        <v>3</v>
      </c>
      <c r="J194" s="7" t="s">
        <v>35</v>
      </c>
      <c r="K194" s="7">
        <v>2</v>
      </c>
      <c r="L194" s="7" t="s">
        <v>52</v>
      </c>
      <c r="M194" s="7">
        <f t="shared" ref="M194:M257" si="15">IF(L194="n",F194,0)</f>
        <v>3</v>
      </c>
      <c r="N194" s="9" t="s">
        <v>34</v>
      </c>
      <c r="O194" s="7">
        <v>0</v>
      </c>
      <c r="P194" s="9" t="s">
        <v>63</v>
      </c>
      <c r="Q194" s="7"/>
      <c r="R194" s="7" t="s">
        <v>38</v>
      </c>
      <c r="S194" s="10" t="s">
        <v>1599</v>
      </c>
      <c r="T194" s="7"/>
      <c r="U194" s="7"/>
      <c r="V194" s="7"/>
      <c r="W194" s="7"/>
      <c r="X194" s="7"/>
      <c r="Y194" s="7"/>
      <c r="Z194" s="7"/>
      <c r="AA194" s="7"/>
      <c r="AB194" s="7">
        <v>0.33333333333333298</v>
      </c>
      <c r="AC194" s="7">
        <f t="shared" ref="AC194:AC257" si="16">IF(L194="n",AB194,0)</f>
        <v>0.33333333333333298</v>
      </c>
      <c r="AD194" s="7">
        <v>3</v>
      </c>
      <c r="AE194" s="7"/>
      <c r="AF194" s="7" t="s">
        <v>40</v>
      </c>
      <c r="AG194" s="7"/>
      <c r="AH194" s="7"/>
      <c r="AI194" s="7"/>
      <c r="AJ194" s="7"/>
      <c r="AK194" s="7"/>
      <c r="AL194" s="9"/>
      <c r="AM194" s="7" t="s">
        <v>71</v>
      </c>
      <c r="AN194" s="7" t="s">
        <v>71</v>
      </c>
      <c r="AO194" s="7" t="s">
        <v>118</v>
      </c>
    </row>
    <row r="195" spans="1:41" s="11" customFormat="1" x14ac:dyDescent="0.25">
      <c r="A195" s="2">
        <v>194</v>
      </c>
      <c r="B195" s="7" t="s">
        <v>240</v>
      </c>
      <c r="C195" s="7" t="s">
        <v>78</v>
      </c>
      <c r="D195" s="7">
        <v>10</v>
      </c>
      <c r="E195" s="7">
        <v>10</v>
      </c>
      <c r="F195" s="8">
        <v>1</v>
      </c>
      <c r="G195" s="8">
        <v>1</v>
      </c>
      <c r="H195" s="7">
        <v>1</v>
      </c>
      <c r="I195" s="7">
        <v>1</v>
      </c>
      <c r="J195" s="7" t="s">
        <v>35</v>
      </c>
      <c r="K195" s="7">
        <v>1</v>
      </c>
      <c r="L195" s="7" t="s">
        <v>52</v>
      </c>
      <c r="M195" s="7">
        <f t="shared" si="15"/>
        <v>1</v>
      </c>
      <c r="N195" s="9" t="s">
        <v>82</v>
      </c>
      <c r="O195" s="7">
        <v>0</v>
      </c>
      <c r="P195" s="9" t="s">
        <v>37</v>
      </c>
      <c r="Q195" s="7" t="s">
        <v>38</v>
      </c>
      <c r="R195" s="7" t="s">
        <v>38</v>
      </c>
      <c r="S195" s="10" t="s">
        <v>1600</v>
      </c>
      <c r="T195" s="7">
        <v>10</v>
      </c>
      <c r="U195" s="7">
        <v>10</v>
      </c>
      <c r="V195" s="7">
        <v>90</v>
      </c>
      <c r="W195" s="7" t="s">
        <v>88</v>
      </c>
      <c r="X195" s="7"/>
      <c r="Y195" s="7"/>
      <c r="Z195" s="7"/>
      <c r="AA195" s="7"/>
      <c r="AB195" s="7">
        <f t="shared" ref="AB195:AB219" si="17">(U195+X195+Z195)/3</f>
        <v>3.3333333333333335</v>
      </c>
      <c r="AC195" s="7">
        <f t="shared" si="16"/>
        <v>3.3333333333333335</v>
      </c>
      <c r="AD195" s="7"/>
      <c r="AE195" s="7"/>
      <c r="AF195" s="7"/>
      <c r="AG195" s="7"/>
      <c r="AH195" s="7"/>
      <c r="AI195" s="7"/>
      <c r="AJ195" s="7"/>
      <c r="AK195" s="7" t="s">
        <v>252</v>
      </c>
      <c r="AL195" s="9"/>
      <c r="AM195" s="7" t="s">
        <v>71</v>
      </c>
      <c r="AN195" s="7" t="s">
        <v>71</v>
      </c>
      <c r="AO195" s="7"/>
    </row>
    <row r="196" spans="1:41" s="11" customFormat="1" x14ac:dyDescent="0.25">
      <c r="A196" s="2">
        <v>195</v>
      </c>
      <c r="B196" s="7" t="s">
        <v>240</v>
      </c>
      <c r="C196" s="7" t="s">
        <v>78</v>
      </c>
      <c r="D196" s="7">
        <v>2</v>
      </c>
      <c r="E196" s="7">
        <v>2</v>
      </c>
      <c r="F196" s="8">
        <v>1</v>
      </c>
      <c r="G196" s="8">
        <v>1</v>
      </c>
      <c r="H196" s="7">
        <v>1</v>
      </c>
      <c r="I196" s="7">
        <v>1</v>
      </c>
      <c r="J196" s="7" t="s">
        <v>35</v>
      </c>
      <c r="K196" s="7">
        <v>1</v>
      </c>
      <c r="L196" s="7" t="s">
        <v>52</v>
      </c>
      <c r="M196" s="7">
        <f t="shared" si="15"/>
        <v>1</v>
      </c>
      <c r="N196" s="9" t="s">
        <v>36</v>
      </c>
      <c r="O196" s="7">
        <v>0</v>
      </c>
      <c r="P196" s="9" t="s">
        <v>63</v>
      </c>
      <c r="Q196" s="7" t="s">
        <v>38</v>
      </c>
      <c r="R196" s="7" t="s">
        <v>38</v>
      </c>
      <c r="S196" s="7"/>
      <c r="T196" s="7">
        <v>5</v>
      </c>
      <c r="U196" s="7">
        <v>5</v>
      </c>
      <c r="V196" s="7">
        <v>130</v>
      </c>
      <c r="W196" s="7" t="s">
        <v>214</v>
      </c>
      <c r="X196" s="7"/>
      <c r="Y196" s="7"/>
      <c r="Z196" s="7"/>
      <c r="AA196" s="7"/>
      <c r="AB196" s="7">
        <f t="shared" si="17"/>
        <v>1.6666666666666667</v>
      </c>
      <c r="AC196" s="7">
        <f t="shared" si="16"/>
        <v>1.6666666666666667</v>
      </c>
      <c r="AD196" s="7"/>
      <c r="AE196" s="7"/>
      <c r="AF196" s="7"/>
      <c r="AG196" s="7"/>
      <c r="AH196" s="7"/>
      <c r="AI196" s="7"/>
      <c r="AJ196" s="7"/>
      <c r="AK196" s="7"/>
      <c r="AL196" s="9"/>
      <c r="AM196" s="7" t="s">
        <v>71</v>
      </c>
      <c r="AN196" s="7" t="s">
        <v>71</v>
      </c>
      <c r="AO196" s="7"/>
    </row>
    <row r="197" spans="1:41" s="11" customFormat="1" x14ac:dyDescent="0.25">
      <c r="A197" s="2">
        <v>196</v>
      </c>
      <c r="B197" s="7" t="s">
        <v>240</v>
      </c>
      <c r="C197" s="7" t="s">
        <v>78</v>
      </c>
      <c r="D197" s="7">
        <v>4</v>
      </c>
      <c r="E197" s="7">
        <v>4</v>
      </c>
      <c r="F197" s="8">
        <v>1</v>
      </c>
      <c r="G197" s="8">
        <v>1</v>
      </c>
      <c r="H197" s="7">
        <v>1</v>
      </c>
      <c r="I197" s="7">
        <v>1</v>
      </c>
      <c r="J197" s="7" t="s">
        <v>35</v>
      </c>
      <c r="K197" s="7">
        <v>2</v>
      </c>
      <c r="L197" s="7" t="s">
        <v>52</v>
      </c>
      <c r="M197" s="7">
        <f t="shared" si="15"/>
        <v>1</v>
      </c>
      <c r="N197" s="9" t="s">
        <v>34</v>
      </c>
      <c r="O197" s="7">
        <v>0</v>
      </c>
      <c r="P197" s="9" t="s">
        <v>33</v>
      </c>
      <c r="Q197" s="7" t="s">
        <v>38</v>
      </c>
      <c r="R197" s="7" t="s">
        <v>38</v>
      </c>
      <c r="S197" s="7"/>
      <c r="T197" s="7">
        <v>3</v>
      </c>
      <c r="U197" s="7">
        <v>3</v>
      </c>
      <c r="V197" s="7" t="s">
        <v>253</v>
      </c>
      <c r="W197" s="7" t="s">
        <v>79</v>
      </c>
      <c r="X197" s="7"/>
      <c r="Y197" s="7"/>
      <c r="Z197" s="7"/>
      <c r="AA197" s="7"/>
      <c r="AB197" s="7">
        <f t="shared" si="17"/>
        <v>1</v>
      </c>
      <c r="AC197" s="7">
        <f t="shared" si="16"/>
        <v>1</v>
      </c>
      <c r="AD197" s="7"/>
      <c r="AE197" s="7"/>
      <c r="AF197" s="7"/>
      <c r="AG197" s="7"/>
      <c r="AH197" s="7"/>
      <c r="AI197" s="7"/>
      <c r="AJ197" s="7"/>
      <c r="AK197" s="7" t="s">
        <v>252</v>
      </c>
      <c r="AL197" s="9"/>
      <c r="AM197" s="7" t="s">
        <v>71</v>
      </c>
      <c r="AN197" s="7" t="s">
        <v>71</v>
      </c>
      <c r="AO197" s="12"/>
    </row>
    <row r="198" spans="1:41" s="11" customFormat="1" x14ac:dyDescent="0.25">
      <c r="A198" s="2">
        <v>197</v>
      </c>
      <c r="B198" s="7" t="s">
        <v>240</v>
      </c>
      <c r="C198" s="7" t="s">
        <v>78</v>
      </c>
      <c r="D198" s="7">
        <v>4</v>
      </c>
      <c r="E198" s="7">
        <v>4</v>
      </c>
      <c r="F198" s="8">
        <v>1</v>
      </c>
      <c r="G198" s="8">
        <v>1</v>
      </c>
      <c r="H198" s="7">
        <v>1</v>
      </c>
      <c r="I198" s="7">
        <v>1</v>
      </c>
      <c r="J198" s="7" t="s">
        <v>35</v>
      </c>
      <c r="K198" s="7">
        <v>1</v>
      </c>
      <c r="L198" s="7" t="s">
        <v>52</v>
      </c>
      <c r="M198" s="7">
        <f t="shared" si="15"/>
        <v>1</v>
      </c>
      <c r="N198" s="9" t="s">
        <v>34</v>
      </c>
      <c r="O198" s="7">
        <v>1</v>
      </c>
      <c r="P198" s="9" t="s">
        <v>33</v>
      </c>
      <c r="Q198" s="7" t="s">
        <v>38</v>
      </c>
      <c r="R198" s="7" t="s">
        <v>38</v>
      </c>
      <c r="S198" s="10" t="s">
        <v>1601</v>
      </c>
      <c r="T198" s="7">
        <v>5</v>
      </c>
      <c r="U198" s="7">
        <v>5</v>
      </c>
      <c r="V198" s="7">
        <v>140</v>
      </c>
      <c r="W198" s="7" t="s">
        <v>79</v>
      </c>
      <c r="X198" s="7"/>
      <c r="Y198" s="7"/>
      <c r="Z198" s="7"/>
      <c r="AA198" s="7"/>
      <c r="AB198" s="7">
        <f t="shared" si="17"/>
        <v>1.6666666666666667</v>
      </c>
      <c r="AC198" s="7">
        <f t="shared" si="16"/>
        <v>1.6666666666666667</v>
      </c>
      <c r="AD198" s="7"/>
      <c r="AE198" s="7"/>
      <c r="AF198" s="7"/>
      <c r="AG198" s="7"/>
      <c r="AH198" s="7"/>
      <c r="AI198" s="7"/>
      <c r="AJ198" s="7"/>
      <c r="AK198" s="7"/>
      <c r="AL198" s="9"/>
      <c r="AM198" s="7" t="s">
        <v>71</v>
      </c>
      <c r="AN198" s="7" t="s">
        <v>71</v>
      </c>
      <c r="AO198" s="12"/>
    </row>
    <row r="199" spans="1:41" s="11" customFormat="1" x14ac:dyDescent="0.25">
      <c r="A199" s="2">
        <v>198</v>
      </c>
      <c r="B199" s="7" t="s">
        <v>240</v>
      </c>
      <c r="C199" s="7" t="s">
        <v>78</v>
      </c>
      <c r="D199" s="7">
        <v>1</v>
      </c>
      <c r="E199" s="7">
        <v>1</v>
      </c>
      <c r="F199" s="8">
        <v>1</v>
      </c>
      <c r="G199" s="8">
        <v>1</v>
      </c>
      <c r="H199" s="7">
        <v>1</v>
      </c>
      <c r="I199" s="7">
        <v>1</v>
      </c>
      <c r="J199" s="7" t="s">
        <v>35</v>
      </c>
      <c r="K199" s="7">
        <v>1</v>
      </c>
      <c r="L199" s="7" t="s">
        <v>52</v>
      </c>
      <c r="M199" s="7">
        <f t="shared" si="15"/>
        <v>1</v>
      </c>
      <c r="N199" s="9" t="s">
        <v>36</v>
      </c>
      <c r="O199" s="7">
        <v>0</v>
      </c>
      <c r="P199" s="9" t="s">
        <v>37</v>
      </c>
      <c r="Q199" s="7" t="s">
        <v>38</v>
      </c>
      <c r="R199" s="7" t="s">
        <v>38</v>
      </c>
      <c r="S199" s="7"/>
      <c r="T199" s="7">
        <v>5</v>
      </c>
      <c r="U199" s="7">
        <v>5</v>
      </c>
      <c r="V199" s="7">
        <v>100</v>
      </c>
      <c r="W199" s="7" t="s">
        <v>254</v>
      </c>
      <c r="X199" s="7"/>
      <c r="Y199" s="7"/>
      <c r="Z199" s="7"/>
      <c r="AA199" s="7"/>
      <c r="AB199" s="7">
        <f t="shared" si="17"/>
        <v>1.6666666666666667</v>
      </c>
      <c r="AC199" s="7">
        <f t="shared" si="16"/>
        <v>1.6666666666666667</v>
      </c>
      <c r="AD199" s="7"/>
      <c r="AE199" s="7"/>
      <c r="AF199" s="7"/>
      <c r="AG199" s="7"/>
      <c r="AH199" s="7"/>
      <c r="AI199" s="7"/>
      <c r="AJ199" s="7"/>
      <c r="AK199" s="7"/>
      <c r="AL199" s="9"/>
      <c r="AM199" s="7" t="s">
        <v>71</v>
      </c>
      <c r="AN199" s="7" t="s">
        <v>71</v>
      </c>
      <c r="AO199" s="12"/>
    </row>
    <row r="200" spans="1:41" s="11" customFormat="1" x14ac:dyDescent="0.25">
      <c r="A200" s="2">
        <v>199</v>
      </c>
      <c r="B200" s="7" t="s">
        <v>240</v>
      </c>
      <c r="C200" s="7" t="s">
        <v>78</v>
      </c>
      <c r="D200" s="7">
        <v>3</v>
      </c>
      <c r="E200" s="7">
        <v>3</v>
      </c>
      <c r="F200" s="8">
        <v>1</v>
      </c>
      <c r="G200" s="8">
        <v>1</v>
      </c>
      <c r="H200" s="7">
        <v>1</v>
      </c>
      <c r="I200" s="7">
        <v>1</v>
      </c>
      <c r="J200" s="7" t="s">
        <v>35</v>
      </c>
      <c r="K200" s="7">
        <v>2</v>
      </c>
      <c r="L200" s="7" t="s">
        <v>52</v>
      </c>
      <c r="M200" s="7">
        <f t="shared" si="15"/>
        <v>1</v>
      </c>
      <c r="N200" s="9" t="s">
        <v>34</v>
      </c>
      <c r="O200" s="7">
        <v>1</v>
      </c>
      <c r="P200" s="9" t="s">
        <v>63</v>
      </c>
      <c r="Q200" s="7" t="s">
        <v>38</v>
      </c>
      <c r="R200" s="7" t="s">
        <v>38</v>
      </c>
      <c r="S200" s="10" t="s">
        <v>1530</v>
      </c>
      <c r="T200" s="7">
        <v>9</v>
      </c>
      <c r="U200" s="7">
        <v>9</v>
      </c>
      <c r="V200" s="7">
        <v>110</v>
      </c>
      <c r="W200" s="7" t="s">
        <v>79</v>
      </c>
      <c r="X200" s="7"/>
      <c r="Y200" s="7"/>
      <c r="Z200" s="7"/>
      <c r="AA200" s="7"/>
      <c r="AB200" s="7">
        <f t="shared" si="17"/>
        <v>3</v>
      </c>
      <c r="AC200" s="7">
        <f t="shared" si="16"/>
        <v>3</v>
      </c>
      <c r="AD200" s="7"/>
      <c r="AE200" s="7"/>
      <c r="AF200" s="7"/>
      <c r="AG200" s="7"/>
      <c r="AH200" s="7"/>
      <c r="AI200" s="7"/>
      <c r="AJ200" s="7"/>
      <c r="AK200" s="7"/>
      <c r="AL200" s="9"/>
      <c r="AM200" s="7" t="s">
        <v>71</v>
      </c>
      <c r="AN200" s="7" t="s">
        <v>71</v>
      </c>
      <c r="AO200" s="12"/>
    </row>
    <row r="201" spans="1:41" s="11" customFormat="1" x14ac:dyDescent="0.25">
      <c r="A201" s="2">
        <v>200</v>
      </c>
      <c r="B201" s="7" t="s">
        <v>240</v>
      </c>
      <c r="C201" s="7" t="s">
        <v>78</v>
      </c>
      <c r="D201" s="7">
        <v>1</v>
      </c>
      <c r="E201" s="7">
        <v>1</v>
      </c>
      <c r="F201" s="8">
        <v>1</v>
      </c>
      <c r="G201" s="8">
        <v>1</v>
      </c>
      <c r="H201" s="7">
        <v>1</v>
      </c>
      <c r="I201" s="7">
        <v>1</v>
      </c>
      <c r="J201" s="7" t="s">
        <v>35</v>
      </c>
      <c r="K201" s="7">
        <v>1</v>
      </c>
      <c r="L201" s="7" t="s">
        <v>52</v>
      </c>
      <c r="M201" s="7">
        <f t="shared" si="15"/>
        <v>1</v>
      </c>
      <c r="N201" s="9" t="s">
        <v>34</v>
      </c>
      <c r="O201" s="7">
        <v>0</v>
      </c>
      <c r="P201" s="9" t="s">
        <v>63</v>
      </c>
      <c r="Q201" s="7" t="s">
        <v>38</v>
      </c>
      <c r="R201" s="7" t="s">
        <v>38</v>
      </c>
      <c r="S201" s="10" t="s">
        <v>1546</v>
      </c>
      <c r="T201" s="7">
        <v>5</v>
      </c>
      <c r="U201" s="7">
        <v>5</v>
      </c>
      <c r="V201" s="7" t="s">
        <v>255</v>
      </c>
      <c r="W201" s="7" t="s">
        <v>254</v>
      </c>
      <c r="X201" s="7"/>
      <c r="Y201" s="7"/>
      <c r="Z201" s="7"/>
      <c r="AA201" s="7"/>
      <c r="AB201" s="7">
        <f t="shared" si="17"/>
        <v>1.6666666666666667</v>
      </c>
      <c r="AC201" s="7">
        <f t="shared" si="16"/>
        <v>1.6666666666666667</v>
      </c>
      <c r="AD201" s="7"/>
      <c r="AE201" s="7"/>
      <c r="AF201" s="7"/>
      <c r="AG201" s="7"/>
      <c r="AH201" s="7"/>
      <c r="AI201" s="7"/>
      <c r="AJ201" s="7"/>
      <c r="AK201" s="7"/>
      <c r="AL201" s="9"/>
      <c r="AM201" s="7" t="s">
        <v>71</v>
      </c>
      <c r="AN201" s="7" t="s">
        <v>71</v>
      </c>
      <c r="AO201" s="12"/>
    </row>
    <row r="202" spans="1:41" s="11" customFormat="1" x14ac:dyDescent="0.25">
      <c r="A202" s="2">
        <v>201</v>
      </c>
      <c r="B202" s="7" t="s">
        <v>240</v>
      </c>
      <c r="C202" s="7" t="s">
        <v>89</v>
      </c>
      <c r="D202" s="7" t="s">
        <v>256</v>
      </c>
      <c r="E202" s="7">
        <f>18+8+5</f>
        <v>31</v>
      </c>
      <c r="F202" s="8">
        <v>2</v>
      </c>
      <c r="G202" s="8">
        <v>3</v>
      </c>
      <c r="H202" s="7" t="s">
        <v>97</v>
      </c>
      <c r="I202" s="7">
        <v>3</v>
      </c>
      <c r="J202" s="7" t="s">
        <v>35</v>
      </c>
      <c r="K202" s="7">
        <v>2</v>
      </c>
      <c r="L202" s="7" t="s">
        <v>52</v>
      </c>
      <c r="M202" s="7">
        <f t="shared" si="15"/>
        <v>2</v>
      </c>
      <c r="N202" s="9" t="s">
        <v>34</v>
      </c>
      <c r="O202" s="7">
        <v>1</v>
      </c>
      <c r="P202" s="9" t="s">
        <v>37</v>
      </c>
      <c r="Q202" s="7" t="s">
        <v>52</v>
      </c>
      <c r="R202" s="7" t="s">
        <v>38</v>
      </c>
      <c r="S202" s="7"/>
      <c r="T202" s="7"/>
      <c r="U202" s="7"/>
      <c r="V202" s="7"/>
      <c r="W202" s="7"/>
      <c r="X202" s="7">
        <v>3</v>
      </c>
      <c r="Y202" s="7"/>
      <c r="Z202" s="7"/>
      <c r="AA202" s="7"/>
      <c r="AB202" s="7">
        <f t="shared" si="17"/>
        <v>1</v>
      </c>
      <c r="AC202" s="7">
        <f t="shared" si="16"/>
        <v>1</v>
      </c>
      <c r="AD202" s="7"/>
      <c r="AE202" s="7"/>
      <c r="AF202" s="7"/>
      <c r="AG202" s="7"/>
      <c r="AH202" s="7"/>
      <c r="AI202" s="7"/>
      <c r="AJ202" s="7"/>
      <c r="AK202" s="7"/>
      <c r="AL202" s="9"/>
      <c r="AM202" s="7" t="s">
        <v>71</v>
      </c>
      <c r="AN202" s="7" t="s">
        <v>71</v>
      </c>
      <c r="AO202" s="7"/>
    </row>
    <row r="203" spans="1:41" s="11" customFormat="1" x14ac:dyDescent="0.25">
      <c r="A203" s="2">
        <v>202</v>
      </c>
      <c r="B203" s="7" t="s">
        <v>240</v>
      </c>
      <c r="C203" s="7" t="s">
        <v>89</v>
      </c>
      <c r="D203" s="7">
        <v>4</v>
      </c>
      <c r="E203" s="7">
        <v>4</v>
      </c>
      <c r="F203" s="8">
        <v>2</v>
      </c>
      <c r="G203" s="8">
        <v>2</v>
      </c>
      <c r="H203" s="7" t="s">
        <v>87</v>
      </c>
      <c r="I203" s="7">
        <v>2</v>
      </c>
      <c r="J203" s="7" t="s">
        <v>35</v>
      </c>
      <c r="K203" s="7">
        <v>2</v>
      </c>
      <c r="L203" s="7" t="s">
        <v>52</v>
      </c>
      <c r="M203" s="7">
        <f t="shared" si="15"/>
        <v>2</v>
      </c>
      <c r="N203" s="9" t="s">
        <v>34</v>
      </c>
      <c r="O203" s="7">
        <v>0</v>
      </c>
      <c r="P203" s="9" t="s">
        <v>33</v>
      </c>
      <c r="Q203" s="7" t="s">
        <v>52</v>
      </c>
      <c r="R203" s="7" t="s">
        <v>38</v>
      </c>
      <c r="S203" s="7"/>
      <c r="T203" s="7"/>
      <c r="U203" s="7"/>
      <c r="V203" s="7"/>
      <c r="W203" s="7"/>
      <c r="X203" s="7">
        <v>3</v>
      </c>
      <c r="Y203" s="7"/>
      <c r="Z203" s="7"/>
      <c r="AA203" s="7"/>
      <c r="AB203" s="7">
        <f t="shared" si="17"/>
        <v>1</v>
      </c>
      <c r="AC203" s="7">
        <f t="shared" si="16"/>
        <v>1</v>
      </c>
      <c r="AD203" s="7"/>
      <c r="AE203" s="7"/>
      <c r="AF203" s="7"/>
      <c r="AG203" s="7"/>
      <c r="AH203" s="7"/>
      <c r="AI203" s="7"/>
      <c r="AJ203" s="7"/>
      <c r="AK203" s="7"/>
      <c r="AL203" s="9"/>
      <c r="AM203" s="7" t="s">
        <v>71</v>
      </c>
      <c r="AN203" s="7" t="s">
        <v>71</v>
      </c>
      <c r="AO203" s="7"/>
    </row>
    <row r="204" spans="1:41" s="11" customFormat="1" x14ac:dyDescent="0.25">
      <c r="A204" s="2">
        <v>203</v>
      </c>
      <c r="B204" s="7" t="s">
        <v>240</v>
      </c>
      <c r="C204" s="7" t="s">
        <v>50</v>
      </c>
      <c r="D204" s="7">
        <v>4</v>
      </c>
      <c r="E204" s="7">
        <v>4</v>
      </c>
      <c r="F204" s="8">
        <v>1</v>
      </c>
      <c r="G204" s="8">
        <v>1</v>
      </c>
      <c r="H204" s="7">
        <v>1</v>
      </c>
      <c r="I204" s="7">
        <v>1</v>
      </c>
      <c r="J204" s="7" t="s">
        <v>35</v>
      </c>
      <c r="K204" s="7">
        <v>2</v>
      </c>
      <c r="L204" s="7" t="s">
        <v>52</v>
      </c>
      <c r="M204" s="7">
        <f t="shared" si="15"/>
        <v>1</v>
      </c>
      <c r="N204" s="9" t="s">
        <v>36</v>
      </c>
      <c r="O204" s="7">
        <v>0</v>
      </c>
      <c r="P204" s="9" t="s">
        <v>33</v>
      </c>
      <c r="Q204" s="7" t="s">
        <v>38</v>
      </c>
      <c r="R204" s="7" t="s">
        <v>52</v>
      </c>
      <c r="S204" s="7"/>
      <c r="T204" s="7"/>
      <c r="U204" s="7"/>
      <c r="V204" s="7"/>
      <c r="W204" s="7"/>
      <c r="X204" s="7"/>
      <c r="Y204" s="7" t="s">
        <v>92</v>
      </c>
      <c r="Z204" s="7">
        <v>3</v>
      </c>
      <c r="AA204" s="7" t="s">
        <v>76</v>
      </c>
      <c r="AB204" s="7">
        <f t="shared" si="17"/>
        <v>1</v>
      </c>
      <c r="AC204" s="7">
        <f t="shared" si="16"/>
        <v>1</v>
      </c>
      <c r="AD204" s="7"/>
      <c r="AE204" s="7"/>
      <c r="AF204" s="7"/>
      <c r="AG204" s="7"/>
      <c r="AH204" s="7"/>
      <c r="AI204" s="7"/>
      <c r="AJ204" s="7"/>
      <c r="AK204" s="7"/>
      <c r="AL204" s="9"/>
      <c r="AM204" s="7" t="s">
        <v>71</v>
      </c>
      <c r="AN204" s="7" t="s">
        <v>71</v>
      </c>
      <c r="AO204" s="12"/>
    </row>
    <row r="205" spans="1:41" s="11" customFormat="1" x14ac:dyDescent="0.25">
      <c r="A205" s="2">
        <v>204</v>
      </c>
      <c r="B205" s="7" t="s">
        <v>240</v>
      </c>
      <c r="C205" s="7" t="s">
        <v>100</v>
      </c>
      <c r="D205" s="7">
        <v>4</v>
      </c>
      <c r="E205" s="7">
        <v>4</v>
      </c>
      <c r="F205" s="8">
        <v>1</v>
      </c>
      <c r="G205" s="8">
        <v>1</v>
      </c>
      <c r="H205" s="7">
        <v>1</v>
      </c>
      <c r="I205" s="7">
        <v>1</v>
      </c>
      <c r="J205" s="7" t="s">
        <v>35</v>
      </c>
      <c r="K205" s="7">
        <v>2</v>
      </c>
      <c r="L205" s="7" t="s">
        <v>52</v>
      </c>
      <c r="M205" s="7">
        <f t="shared" si="15"/>
        <v>1</v>
      </c>
      <c r="N205" s="9" t="s">
        <v>82</v>
      </c>
      <c r="O205" s="7">
        <v>0</v>
      </c>
      <c r="P205" s="9" t="s">
        <v>36</v>
      </c>
      <c r="Q205" s="7" t="s">
        <v>52</v>
      </c>
      <c r="R205" s="7" t="s">
        <v>38</v>
      </c>
      <c r="S205" s="7"/>
      <c r="T205" s="7"/>
      <c r="U205" s="7"/>
      <c r="V205" s="7"/>
      <c r="W205" s="7"/>
      <c r="X205" s="7">
        <v>3</v>
      </c>
      <c r="Y205" s="7"/>
      <c r="Z205" s="7"/>
      <c r="AA205" s="7"/>
      <c r="AB205" s="7">
        <f t="shared" si="17"/>
        <v>1</v>
      </c>
      <c r="AC205" s="7">
        <f t="shared" si="16"/>
        <v>1</v>
      </c>
      <c r="AD205" s="7"/>
      <c r="AE205" s="7"/>
      <c r="AF205" s="7"/>
      <c r="AG205" s="7"/>
      <c r="AH205" s="7"/>
      <c r="AI205" s="7"/>
      <c r="AJ205" s="7"/>
      <c r="AK205" s="7"/>
      <c r="AL205" s="9"/>
      <c r="AM205" s="7" t="s">
        <v>71</v>
      </c>
      <c r="AN205" s="7" t="s">
        <v>71</v>
      </c>
      <c r="AO205" s="12"/>
    </row>
    <row r="206" spans="1:41" s="11" customFormat="1" x14ac:dyDescent="0.25">
      <c r="A206" s="2">
        <v>205</v>
      </c>
      <c r="B206" s="7" t="s">
        <v>240</v>
      </c>
      <c r="C206" s="7" t="s">
        <v>89</v>
      </c>
      <c r="D206" s="7" t="s">
        <v>257</v>
      </c>
      <c r="E206" s="7">
        <f>13+8+9+1</f>
        <v>31</v>
      </c>
      <c r="F206" s="8">
        <v>7</v>
      </c>
      <c r="G206" s="8">
        <v>8</v>
      </c>
      <c r="H206" s="7" t="s">
        <v>258</v>
      </c>
      <c r="I206" s="7">
        <v>8</v>
      </c>
      <c r="J206" s="7" t="s">
        <v>35</v>
      </c>
      <c r="K206" s="7">
        <v>2</v>
      </c>
      <c r="L206" s="7" t="s">
        <v>52</v>
      </c>
      <c r="M206" s="7">
        <f t="shared" si="15"/>
        <v>7</v>
      </c>
      <c r="N206" s="9" t="s">
        <v>34</v>
      </c>
      <c r="O206" s="7">
        <v>0</v>
      </c>
      <c r="P206" s="9" t="s">
        <v>37</v>
      </c>
      <c r="Q206" s="7" t="s">
        <v>38</v>
      </c>
      <c r="R206" s="7" t="s">
        <v>38</v>
      </c>
      <c r="S206" s="10" t="s">
        <v>1602</v>
      </c>
      <c r="T206" s="7"/>
      <c r="U206" s="7"/>
      <c r="V206" s="7"/>
      <c r="W206" s="7"/>
      <c r="X206" s="7">
        <v>3</v>
      </c>
      <c r="Y206" s="7"/>
      <c r="Z206" s="7"/>
      <c r="AA206" s="7"/>
      <c r="AB206" s="7">
        <f t="shared" si="17"/>
        <v>1</v>
      </c>
      <c r="AC206" s="7">
        <f t="shared" si="16"/>
        <v>1</v>
      </c>
      <c r="AD206" s="7"/>
      <c r="AE206" s="7"/>
      <c r="AF206" s="7"/>
      <c r="AG206" s="7"/>
      <c r="AH206" s="7"/>
      <c r="AI206" s="7"/>
      <c r="AJ206" s="7"/>
      <c r="AK206" s="7"/>
      <c r="AL206" s="9"/>
      <c r="AM206" s="7" t="s">
        <v>71</v>
      </c>
      <c r="AN206" s="7" t="s">
        <v>71</v>
      </c>
      <c r="AO206" s="12"/>
    </row>
    <row r="207" spans="1:41" s="11" customFormat="1" x14ac:dyDescent="0.25">
      <c r="A207" s="2">
        <v>206</v>
      </c>
      <c r="B207" s="7" t="s">
        <v>240</v>
      </c>
      <c r="C207" s="7" t="s">
        <v>89</v>
      </c>
      <c r="D207" s="7" t="s">
        <v>259</v>
      </c>
      <c r="E207" s="7">
        <f>30+21+12+9+3</f>
        <v>75</v>
      </c>
      <c r="F207" s="8">
        <v>7</v>
      </c>
      <c r="G207" s="8">
        <v>10</v>
      </c>
      <c r="H207" s="7" t="s">
        <v>260</v>
      </c>
      <c r="I207" s="7">
        <v>10</v>
      </c>
      <c r="J207" s="7" t="s">
        <v>35</v>
      </c>
      <c r="K207" s="7">
        <v>2</v>
      </c>
      <c r="L207" s="7" t="s">
        <v>52</v>
      </c>
      <c r="M207" s="7">
        <f t="shared" si="15"/>
        <v>7</v>
      </c>
      <c r="N207" s="9" t="s">
        <v>36</v>
      </c>
      <c r="O207" s="7">
        <v>0</v>
      </c>
      <c r="P207" s="9" t="s">
        <v>37</v>
      </c>
      <c r="Q207" s="7" t="s">
        <v>38</v>
      </c>
      <c r="R207" s="7" t="s">
        <v>38</v>
      </c>
      <c r="S207" s="10" t="s">
        <v>1602</v>
      </c>
      <c r="T207" s="7"/>
      <c r="U207" s="7"/>
      <c r="V207" s="7"/>
      <c r="W207" s="7"/>
      <c r="X207" s="7">
        <v>3</v>
      </c>
      <c r="Y207" s="7"/>
      <c r="Z207" s="7"/>
      <c r="AA207" s="7"/>
      <c r="AB207" s="7">
        <f t="shared" si="17"/>
        <v>1</v>
      </c>
      <c r="AC207" s="7">
        <f t="shared" si="16"/>
        <v>1</v>
      </c>
      <c r="AD207" s="7"/>
      <c r="AE207" s="7"/>
      <c r="AF207" s="7"/>
      <c r="AG207" s="7"/>
      <c r="AH207" s="7"/>
      <c r="AI207" s="7"/>
      <c r="AJ207" s="7"/>
      <c r="AK207" s="7"/>
      <c r="AL207" s="9"/>
      <c r="AM207" s="7" t="s">
        <v>71</v>
      </c>
      <c r="AN207" s="7" t="s">
        <v>71</v>
      </c>
      <c r="AO207" s="12"/>
    </row>
    <row r="208" spans="1:41" s="11" customFormat="1" ht="24" x14ac:dyDescent="0.25">
      <c r="A208" s="2">
        <v>207</v>
      </c>
      <c r="B208" s="7" t="s">
        <v>240</v>
      </c>
      <c r="C208" s="7" t="s">
        <v>89</v>
      </c>
      <c r="D208" s="7" t="s">
        <v>261</v>
      </c>
      <c r="E208" s="7">
        <f>23+36+11+5+12+6+1</f>
        <v>94</v>
      </c>
      <c r="F208" s="8">
        <v>12</v>
      </c>
      <c r="G208" s="8">
        <v>12</v>
      </c>
      <c r="H208" s="7" t="s">
        <v>262</v>
      </c>
      <c r="I208" s="7">
        <v>12</v>
      </c>
      <c r="J208" s="7" t="s">
        <v>35</v>
      </c>
      <c r="K208" s="7">
        <v>2</v>
      </c>
      <c r="L208" s="7" t="s">
        <v>52</v>
      </c>
      <c r="M208" s="7">
        <f t="shared" si="15"/>
        <v>12</v>
      </c>
      <c r="N208" s="9" t="s">
        <v>34</v>
      </c>
      <c r="O208" s="7">
        <v>1</v>
      </c>
      <c r="P208" s="9" t="s">
        <v>63</v>
      </c>
      <c r="Q208" s="7" t="s">
        <v>38</v>
      </c>
      <c r="R208" s="7" t="s">
        <v>38</v>
      </c>
      <c r="S208" s="10" t="s">
        <v>1603</v>
      </c>
      <c r="T208" s="7"/>
      <c r="U208" s="7"/>
      <c r="V208" s="7"/>
      <c r="W208" s="7"/>
      <c r="X208" s="7">
        <v>3</v>
      </c>
      <c r="Y208" s="7"/>
      <c r="Z208" s="7"/>
      <c r="AA208" s="7"/>
      <c r="AB208" s="7">
        <f t="shared" si="17"/>
        <v>1</v>
      </c>
      <c r="AC208" s="7">
        <f t="shared" si="16"/>
        <v>1</v>
      </c>
      <c r="AD208" s="7"/>
      <c r="AE208" s="7"/>
      <c r="AF208" s="7"/>
      <c r="AG208" s="7"/>
      <c r="AH208" s="7"/>
      <c r="AI208" s="7"/>
      <c r="AJ208" s="7"/>
      <c r="AK208" s="7"/>
      <c r="AL208" s="9"/>
      <c r="AM208" s="7" t="s">
        <v>71</v>
      </c>
      <c r="AN208" s="7" t="s">
        <v>71</v>
      </c>
      <c r="AO208" s="12"/>
    </row>
    <row r="209" spans="1:41" s="11" customFormat="1" x14ac:dyDescent="0.25">
      <c r="A209" s="2">
        <v>208</v>
      </c>
      <c r="B209" s="7" t="s">
        <v>240</v>
      </c>
      <c r="C209" s="7" t="s">
        <v>100</v>
      </c>
      <c r="D209" s="7">
        <v>4</v>
      </c>
      <c r="E209" s="7">
        <v>4</v>
      </c>
      <c r="F209" s="8">
        <v>1</v>
      </c>
      <c r="G209" s="8">
        <v>1</v>
      </c>
      <c r="H209" s="7">
        <v>1</v>
      </c>
      <c r="I209" s="7">
        <v>1</v>
      </c>
      <c r="J209" s="7" t="s">
        <v>35</v>
      </c>
      <c r="K209" s="7">
        <v>2</v>
      </c>
      <c r="L209" s="7" t="s">
        <v>52</v>
      </c>
      <c r="M209" s="7">
        <f t="shared" si="15"/>
        <v>1</v>
      </c>
      <c r="N209" s="9" t="s">
        <v>36</v>
      </c>
      <c r="O209" s="7">
        <v>1</v>
      </c>
      <c r="P209" s="9" t="s">
        <v>63</v>
      </c>
      <c r="Q209" s="7" t="s">
        <v>38</v>
      </c>
      <c r="R209" s="7" t="s">
        <v>38</v>
      </c>
      <c r="S209" s="10" t="s">
        <v>1604</v>
      </c>
      <c r="T209" s="7"/>
      <c r="U209" s="7"/>
      <c r="V209" s="7"/>
      <c r="W209" s="7"/>
      <c r="X209" s="7">
        <v>3</v>
      </c>
      <c r="Y209" s="7"/>
      <c r="Z209" s="7"/>
      <c r="AA209" s="7"/>
      <c r="AB209" s="7">
        <f t="shared" si="17"/>
        <v>1</v>
      </c>
      <c r="AC209" s="7">
        <f t="shared" si="16"/>
        <v>1</v>
      </c>
      <c r="AD209" s="7"/>
      <c r="AE209" s="7"/>
      <c r="AF209" s="7"/>
      <c r="AG209" s="7"/>
      <c r="AH209" s="7"/>
      <c r="AI209" s="7"/>
      <c r="AJ209" s="7"/>
      <c r="AK209" s="7"/>
      <c r="AL209" s="9"/>
      <c r="AM209" s="7" t="s">
        <v>71</v>
      </c>
      <c r="AN209" s="7" t="s">
        <v>71</v>
      </c>
      <c r="AO209" s="12"/>
    </row>
    <row r="210" spans="1:41" s="11" customFormat="1" x14ac:dyDescent="0.25">
      <c r="A210" s="2">
        <v>209</v>
      </c>
      <c r="B210" s="7" t="s">
        <v>240</v>
      </c>
      <c r="C210" s="7" t="s">
        <v>89</v>
      </c>
      <c r="D210" s="7" t="s">
        <v>86</v>
      </c>
      <c r="E210" s="7">
        <v>4</v>
      </c>
      <c r="F210" s="8">
        <v>2</v>
      </c>
      <c r="G210" s="8">
        <v>2</v>
      </c>
      <c r="H210" s="7" t="s">
        <v>87</v>
      </c>
      <c r="I210" s="7">
        <v>2</v>
      </c>
      <c r="J210" s="7" t="s">
        <v>70</v>
      </c>
      <c r="K210" s="7">
        <v>1</v>
      </c>
      <c r="L210" s="7" t="s">
        <v>52</v>
      </c>
      <c r="M210" s="7">
        <f t="shared" si="15"/>
        <v>2</v>
      </c>
      <c r="N210" s="9" t="s">
        <v>34</v>
      </c>
      <c r="O210" s="7">
        <v>0</v>
      </c>
      <c r="P210" s="9" t="s">
        <v>34</v>
      </c>
      <c r="Q210" s="7" t="s">
        <v>38</v>
      </c>
      <c r="R210" s="7" t="s">
        <v>38</v>
      </c>
      <c r="S210" s="10" t="s">
        <v>1605</v>
      </c>
      <c r="T210" s="7"/>
      <c r="U210" s="7"/>
      <c r="V210" s="7"/>
      <c r="W210" s="7"/>
      <c r="X210" s="7">
        <v>3</v>
      </c>
      <c r="Y210" s="7"/>
      <c r="Z210" s="7"/>
      <c r="AA210" s="7"/>
      <c r="AB210" s="7">
        <f t="shared" si="17"/>
        <v>1</v>
      </c>
      <c r="AC210" s="7">
        <f t="shared" si="16"/>
        <v>1</v>
      </c>
      <c r="AD210" s="7"/>
      <c r="AE210" s="7"/>
      <c r="AF210" s="7"/>
      <c r="AG210" s="7"/>
      <c r="AH210" s="7"/>
      <c r="AI210" s="7"/>
      <c r="AJ210" s="7"/>
      <c r="AK210" s="7"/>
      <c r="AL210" s="9"/>
      <c r="AM210" s="7" t="s">
        <v>71</v>
      </c>
      <c r="AN210" s="7" t="s">
        <v>71</v>
      </c>
      <c r="AO210" s="12"/>
    </row>
    <row r="211" spans="1:41" s="11" customFormat="1" x14ac:dyDescent="0.25">
      <c r="A211" s="2">
        <v>210</v>
      </c>
      <c r="B211" s="7" t="s">
        <v>240</v>
      </c>
      <c r="C211" s="7" t="s">
        <v>89</v>
      </c>
      <c r="D211" s="7" t="s">
        <v>263</v>
      </c>
      <c r="E211" s="7">
        <v>8</v>
      </c>
      <c r="F211" s="8">
        <v>3</v>
      </c>
      <c r="G211" s="8">
        <v>3</v>
      </c>
      <c r="H211" s="7" t="s">
        <v>97</v>
      </c>
      <c r="I211" s="7">
        <v>3</v>
      </c>
      <c r="J211" s="7" t="s">
        <v>70</v>
      </c>
      <c r="K211" s="7">
        <v>1</v>
      </c>
      <c r="L211" s="7" t="s">
        <v>52</v>
      </c>
      <c r="M211" s="7">
        <f t="shared" si="15"/>
        <v>3</v>
      </c>
      <c r="N211" s="9" t="s">
        <v>82</v>
      </c>
      <c r="O211" s="7">
        <v>0</v>
      </c>
      <c r="P211" s="9" t="s">
        <v>34</v>
      </c>
      <c r="Q211" s="7" t="s">
        <v>38</v>
      </c>
      <c r="R211" s="7" t="s">
        <v>38</v>
      </c>
      <c r="S211" s="7"/>
      <c r="T211" s="7"/>
      <c r="U211" s="7"/>
      <c r="V211" s="7"/>
      <c r="W211" s="7"/>
      <c r="X211" s="7">
        <v>3</v>
      </c>
      <c r="Y211" s="7"/>
      <c r="Z211" s="7"/>
      <c r="AA211" s="7"/>
      <c r="AB211" s="7">
        <f t="shared" si="17"/>
        <v>1</v>
      </c>
      <c r="AC211" s="7">
        <f t="shared" si="16"/>
        <v>1</v>
      </c>
      <c r="AD211" s="7"/>
      <c r="AE211" s="7"/>
      <c r="AF211" s="7"/>
      <c r="AG211" s="7"/>
      <c r="AH211" s="7"/>
      <c r="AI211" s="7"/>
      <c r="AJ211" s="7"/>
      <c r="AK211" s="7"/>
      <c r="AL211" s="9"/>
      <c r="AM211" s="7" t="s">
        <v>71</v>
      </c>
      <c r="AN211" s="7" t="s">
        <v>71</v>
      </c>
      <c r="AO211" s="12"/>
    </row>
    <row r="212" spans="1:41" s="11" customFormat="1" ht="24" x14ac:dyDescent="0.25">
      <c r="A212" s="2">
        <v>211</v>
      </c>
      <c r="B212" s="7" t="s">
        <v>240</v>
      </c>
      <c r="C212" s="7" t="s">
        <v>245</v>
      </c>
      <c r="D212" s="7">
        <v>44</v>
      </c>
      <c r="E212" s="7">
        <v>44</v>
      </c>
      <c r="F212" s="8">
        <v>1</v>
      </c>
      <c r="G212" s="8">
        <v>1</v>
      </c>
      <c r="H212" s="7">
        <v>1</v>
      </c>
      <c r="I212" s="7">
        <v>1</v>
      </c>
      <c r="J212" s="7" t="s">
        <v>176</v>
      </c>
      <c r="K212" s="7">
        <v>10</v>
      </c>
      <c r="L212" s="7" t="s">
        <v>52</v>
      </c>
      <c r="M212" s="7">
        <f t="shared" si="15"/>
        <v>1</v>
      </c>
      <c r="N212" s="9" t="s">
        <v>177</v>
      </c>
      <c r="O212" s="7">
        <v>0</v>
      </c>
      <c r="P212" s="9" t="s">
        <v>63</v>
      </c>
      <c r="Q212" s="7" t="s">
        <v>38</v>
      </c>
      <c r="R212" s="7" t="s">
        <v>38</v>
      </c>
      <c r="S212" s="10" t="s">
        <v>1606</v>
      </c>
      <c r="T212" s="7">
        <v>11</v>
      </c>
      <c r="U212" s="7">
        <v>11</v>
      </c>
      <c r="V212" s="7">
        <v>180</v>
      </c>
      <c r="W212" s="7" t="s">
        <v>239</v>
      </c>
      <c r="X212" s="7"/>
      <c r="Y212" s="7"/>
      <c r="Z212" s="7"/>
      <c r="AA212" s="7"/>
      <c r="AB212" s="7">
        <f t="shared" si="17"/>
        <v>3.6666666666666665</v>
      </c>
      <c r="AC212" s="7">
        <f t="shared" si="16"/>
        <v>3.6666666666666665</v>
      </c>
      <c r="AD212" s="7"/>
      <c r="AE212" s="7">
        <v>1</v>
      </c>
      <c r="AF212" s="7" t="s">
        <v>40</v>
      </c>
      <c r="AG212" s="7" t="s">
        <v>264</v>
      </c>
      <c r="AH212" s="7"/>
      <c r="AI212" s="7"/>
      <c r="AJ212" s="7"/>
      <c r="AK212" s="7"/>
      <c r="AL212" s="9"/>
      <c r="AM212" s="7" t="s">
        <v>265</v>
      </c>
      <c r="AN212" s="7" t="s">
        <v>2849</v>
      </c>
      <c r="AO212" s="7"/>
    </row>
    <row r="213" spans="1:41" s="11" customFormat="1" ht="24" x14ac:dyDescent="0.25">
      <c r="A213" s="2">
        <v>212</v>
      </c>
      <c r="B213" s="7" t="s">
        <v>240</v>
      </c>
      <c r="C213" s="7" t="s">
        <v>78</v>
      </c>
      <c r="D213" s="7">
        <v>31</v>
      </c>
      <c r="E213" s="7">
        <v>31</v>
      </c>
      <c r="F213" s="8">
        <v>1</v>
      </c>
      <c r="G213" s="8">
        <v>1</v>
      </c>
      <c r="H213" s="7">
        <v>1</v>
      </c>
      <c r="I213" s="7">
        <v>1</v>
      </c>
      <c r="J213" s="7" t="s">
        <v>176</v>
      </c>
      <c r="K213" s="7" t="s">
        <v>189</v>
      </c>
      <c r="L213" s="7" t="s">
        <v>52</v>
      </c>
      <c r="M213" s="7">
        <f t="shared" si="15"/>
        <v>1</v>
      </c>
      <c r="N213" s="9" t="s">
        <v>177</v>
      </c>
      <c r="O213" s="7">
        <v>0</v>
      </c>
      <c r="P213" s="9" t="s">
        <v>63</v>
      </c>
      <c r="Q213" s="7" t="s">
        <v>38</v>
      </c>
      <c r="R213" s="7" t="s">
        <v>52</v>
      </c>
      <c r="S213" s="10" t="s">
        <v>1607</v>
      </c>
      <c r="T213" s="7">
        <v>5</v>
      </c>
      <c r="U213" s="7">
        <v>5</v>
      </c>
      <c r="V213" s="7">
        <v>300</v>
      </c>
      <c r="W213" s="7" t="s">
        <v>266</v>
      </c>
      <c r="X213" s="7"/>
      <c r="Y213" s="7"/>
      <c r="Z213" s="7"/>
      <c r="AA213" s="7"/>
      <c r="AB213" s="7">
        <f t="shared" si="17"/>
        <v>1.6666666666666667</v>
      </c>
      <c r="AC213" s="7">
        <f t="shared" si="16"/>
        <v>1.6666666666666667</v>
      </c>
      <c r="AD213" s="7"/>
      <c r="AE213" s="7"/>
      <c r="AF213" s="7"/>
      <c r="AG213" s="7"/>
      <c r="AH213" s="7"/>
      <c r="AI213" s="7"/>
      <c r="AJ213" s="7"/>
      <c r="AK213" s="7"/>
      <c r="AL213" s="9"/>
      <c r="AM213" s="7" t="s">
        <v>215</v>
      </c>
      <c r="AN213" s="7" t="s">
        <v>2850</v>
      </c>
      <c r="AO213" s="7"/>
    </row>
    <row r="214" spans="1:41" s="11" customFormat="1" x14ac:dyDescent="0.25">
      <c r="A214" s="2">
        <v>213</v>
      </c>
      <c r="B214" s="7" t="s">
        <v>240</v>
      </c>
      <c r="C214" s="7" t="s">
        <v>50</v>
      </c>
      <c r="D214" s="7">
        <v>47</v>
      </c>
      <c r="E214" s="7">
        <v>47</v>
      </c>
      <c r="F214" s="8">
        <v>1</v>
      </c>
      <c r="G214" s="8">
        <v>1</v>
      </c>
      <c r="H214" s="7">
        <v>1</v>
      </c>
      <c r="I214" s="7">
        <v>1</v>
      </c>
      <c r="J214" s="7" t="s">
        <v>176</v>
      </c>
      <c r="K214" s="7" t="s">
        <v>189</v>
      </c>
      <c r="L214" s="7" t="s">
        <v>52</v>
      </c>
      <c r="M214" s="7">
        <f t="shared" si="15"/>
        <v>1</v>
      </c>
      <c r="N214" s="9" t="s">
        <v>177</v>
      </c>
      <c r="O214" s="7">
        <v>0</v>
      </c>
      <c r="P214" s="9" t="s">
        <v>63</v>
      </c>
      <c r="Q214" s="7" t="s">
        <v>38</v>
      </c>
      <c r="R214" s="7" t="s">
        <v>52</v>
      </c>
      <c r="S214" s="10" t="s">
        <v>1608</v>
      </c>
      <c r="T214" s="7"/>
      <c r="U214" s="7"/>
      <c r="V214" s="7"/>
      <c r="W214" s="7"/>
      <c r="X214" s="7"/>
      <c r="Y214" s="7">
        <v>9</v>
      </c>
      <c r="Z214" s="7">
        <v>9</v>
      </c>
      <c r="AA214" s="7">
        <v>200</v>
      </c>
      <c r="AB214" s="7">
        <f t="shared" si="17"/>
        <v>3</v>
      </c>
      <c r="AC214" s="7">
        <f t="shared" si="16"/>
        <v>3</v>
      </c>
      <c r="AD214" s="7"/>
      <c r="AE214" s="7"/>
      <c r="AF214" s="7"/>
      <c r="AG214" s="7"/>
      <c r="AH214" s="7"/>
      <c r="AI214" s="7"/>
      <c r="AJ214" s="7"/>
      <c r="AK214" s="7"/>
      <c r="AL214" s="9"/>
      <c r="AM214" s="7" t="s">
        <v>71</v>
      </c>
      <c r="AN214" s="7" t="s">
        <v>71</v>
      </c>
      <c r="AO214" s="7"/>
    </row>
    <row r="215" spans="1:41" s="11" customFormat="1" ht="24" x14ac:dyDescent="0.25">
      <c r="A215" s="2">
        <v>214</v>
      </c>
      <c r="B215" s="7" t="s">
        <v>240</v>
      </c>
      <c r="C215" s="7" t="s">
        <v>100</v>
      </c>
      <c r="D215" s="7">
        <v>2</v>
      </c>
      <c r="E215" s="7">
        <v>2</v>
      </c>
      <c r="F215" s="8">
        <v>1</v>
      </c>
      <c r="G215" s="8">
        <v>1</v>
      </c>
      <c r="H215" s="7">
        <v>1</v>
      </c>
      <c r="I215" s="7">
        <v>1</v>
      </c>
      <c r="J215" s="7" t="s">
        <v>176</v>
      </c>
      <c r="K215" s="7" t="s">
        <v>189</v>
      </c>
      <c r="L215" s="7" t="s">
        <v>52</v>
      </c>
      <c r="M215" s="7">
        <f t="shared" si="15"/>
        <v>1</v>
      </c>
      <c r="N215" s="9" t="s">
        <v>177</v>
      </c>
      <c r="O215" s="7">
        <v>0</v>
      </c>
      <c r="P215" s="9" t="s">
        <v>63</v>
      </c>
      <c r="Q215" s="7" t="s">
        <v>52</v>
      </c>
      <c r="R215" s="7" t="s">
        <v>38</v>
      </c>
      <c r="S215" s="10" t="s">
        <v>1609</v>
      </c>
      <c r="T215" s="7"/>
      <c r="U215" s="7"/>
      <c r="V215" s="7"/>
      <c r="W215" s="7"/>
      <c r="X215" s="7">
        <v>3</v>
      </c>
      <c r="Y215" s="7"/>
      <c r="Z215" s="7"/>
      <c r="AA215" s="7"/>
      <c r="AB215" s="7">
        <f t="shared" si="17"/>
        <v>1</v>
      </c>
      <c r="AC215" s="7">
        <f t="shared" si="16"/>
        <v>1</v>
      </c>
      <c r="AD215" s="7"/>
      <c r="AE215" s="7"/>
      <c r="AF215" s="7"/>
      <c r="AG215" s="7"/>
      <c r="AH215" s="7"/>
      <c r="AI215" s="7"/>
      <c r="AJ215" s="7"/>
      <c r="AK215" s="10" t="s">
        <v>2436</v>
      </c>
      <c r="AL215" s="9"/>
      <c r="AM215" s="7" t="s">
        <v>71</v>
      </c>
      <c r="AN215" s="7" t="s">
        <v>71</v>
      </c>
      <c r="AO215" s="7"/>
    </row>
    <row r="216" spans="1:41" s="11" customFormat="1" x14ac:dyDescent="0.25">
      <c r="A216" s="2">
        <v>215</v>
      </c>
      <c r="B216" s="7" t="s">
        <v>240</v>
      </c>
      <c r="C216" s="7" t="s">
        <v>100</v>
      </c>
      <c r="D216" s="7">
        <v>18</v>
      </c>
      <c r="E216" s="7">
        <v>18</v>
      </c>
      <c r="F216" s="8">
        <v>1</v>
      </c>
      <c r="G216" s="8">
        <v>1</v>
      </c>
      <c r="H216" s="7">
        <v>1</v>
      </c>
      <c r="I216" s="7">
        <v>1</v>
      </c>
      <c r="J216" s="7" t="s">
        <v>176</v>
      </c>
      <c r="K216" s="7" t="s">
        <v>189</v>
      </c>
      <c r="L216" s="7" t="s">
        <v>52</v>
      </c>
      <c r="M216" s="7">
        <f t="shared" si="15"/>
        <v>1</v>
      </c>
      <c r="N216" s="9" t="s">
        <v>177</v>
      </c>
      <c r="O216" s="7">
        <v>0</v>
      </c>
      <c r="P216" s="9" t="s">
        <v>63</v>
      </c>
      <c r="Q216" s="7" t="s">
        <v>38</v>
      </c>
      <c r="R216" s="7" t="s">
        <v>52</v>
      </c>
      <c r="S216" s="10" t="s">
        <v>209</v>
      </c>
      <c r="T216" s="7"/>
      <c r="U216" s="7"/>
      <c r="V216" s="7"/>
      <c r="W216" s="7"/>
      <c r="X216" s="7">
        <v>3</v>
      </c>
      <c r="Y216" s="7"/>
      <c r="Z216" s="7"/>
      <c r="AA216" s="7"/>
      <c r="AB216" s="7">
        <f t="shared" si="17"/>
        <v>1</v>
      </c>
      <c r="AC216" s="7">
        <f t="shared" si="16"/>
        <v>1</v>
      </c>
      <c r="AD216" s="7"/>
      <c r="AE216" s="7"/>
      <c r="AF216" s="7"/>
      <c r="AG216" s="7"/>
      <c r="AH216" s="7"/>
      <c r="AI216" s="7"/>
      <c r="AJ216" s="7"/>
      <c r="AK216" s="7"/>
      <c r="AL216" s="9"/>
      <c r="AM216" s="7" t="s">
        <v>71</v>
      </c>
      <c r="AN216" s="7" t="s">
        <v>71</v>
      </c>
      <c r="AO216" s="12"/>
    </row>
    <row r="217" spans="1:41" s="11" customFormat="1" ht="24" x14ac:dyDescent="0.25">
      <c r="A217" s="2">
        <v>216</v>
      </c>
      <c r="B217" s="7" t="s">
        <v>240</v>
      </c>
      <c r="C217" s="7" t="s">
        <v>100</v>
      </c>
      <c r="D217" s="7">
        <v>2</v>
      </c>
      <c r="E217" s="7">
        <v>2</v>
      </c>
      <c r="F217" s="8">
        <v>1</v>
      </c>
      <c r="G217" s="8">
        <v>1</v>
      </c>
      <c r="H217" s="7">
        <v>1</v>
      </c>
      <c r="I217" s="7">
        <v>1</v>
      </c>
      <c r="J217" s="7" t="s">
        <v>176</v>
      </c>
      <c r="K217" s="7" t="s">
        <v>189</v>
      </c>
      <c r="L217" s="7" t="s">
        <v>52</v>
      </c>
      <c r="M217" s="7">
        <f t="shared" si="15"/>
        <v>1</v>
      </c>
      <c r="N217" s="9" t="s">
        <v>213</v>
      </c>
      <c r="O217" s="7">
        <v>0</v>
      </c>
      <c r="P217" s="9" t="s">
        <v>63</v>
      </c>
      <c r="Q217" s="7" t="s">
        <v>38</v>
      </c>
      <c r="R217" s="7" t="s">
        <v>52</v>
      </c>
      <c r="S217" s="10" t="s">
        <v>1610</v>
      </c>
      <c r="T217" s="7"/>
      <c r="U217" s="7"/>
      <c r="V217" s="7"/>
      <c r="W217" s="7"/>
      <c r="X217" s="7">
        <v>3</v>
      </c>
      <c r="Y217" s="7"/>
      <c r="Z217" s="7"/>
      <c r="AA217" s="7"/>
      <c r="AB217" s="7">
        <f t="shared" si="17"/>
        <v>1</v>
      </c>
      <c r="AC217" s="7">
        <f t="shared" si="16"/>
        <v>1</v>
      </c>
      <c r="AD217" s="7"/>
      <c r="AE217" s="7"/>
      <c r="AF217" s="7"/>
      <c r="AG217" s="7"/>
      <c r="AH217" s="7"/>
      <c r="AI217" s="7"/>
      <c r="AJ217" s="7"/>
      <c r="AK217" s="7"/>
      <c r="AL217" s="9"/>
      <c r="AM217" s="7" t="s">
        <v>71</v>
      </c>
      <c r="AN217" s="7" t="s">
        <v>71</v>
      </c>
      <c r="AO217" s="12"/>
    </row>
    <row r="218" spans="1:41" s="11" customFormat="1" x14ac:dyDescent="0.25">
      <c r="A218" s="2">
        <v>217</v>
      </c>
      <c r="B218" s="7" t="s">
        <v>240</v>
      </c>
      <c r="C218" s="7" t="s">
        <v>100</v>
      </c>
      <c r="D218" s="7">
        <v>2</v>
      </c>
      <c r="E218" s="7">
        <v>2</v>
      </c>
      <c r="F218" s="8">
        <v>1</v>
      </c>
      <c r="G218" s="8">
        <v>1</v>
      </c>
      <c r="H218" s="7">
        <v>1</v>
      </c>
      <c r="I218" s="7">
        <v>1</v>
      </c>
      <c r="J218" s="7" t="s">
        <v>176</v>
      </c>
      <c r="K218" s="7" t="s">
        <v>189</v>
      </c>
      <c r="L218" s="7" t="s">
        <v>52</v>
      </c>
      <c r="M218" s="7">
        <f t="shared" si="15"/>
        <v>1</v>
      </c>
      <c r="N218" s="9" t="s">
        <v>177</v>
      </c>
      <c r="O218" s="7">
        <v>0</v>
      </c>
      <c r="P218" s="9" t="s">
        <v>63</v>
      </c>
      <c r="Q218" s="7" t="s">
        <v>38</v>
      </c>
      <c r="R218" s="7" t="s">
        <v>38</v>
      </c>
      <c r="S218" s="10" t="s">
        <v>1611</v>
      </c>
      <c r="T218" s="7"/>
      <c r="U218" s="7"/>
      <c r="V218" s="7"/>
      <c r="W218" s="7"/>
      <c r="X218" s="7">
        <v>3</v>
      </c>
      <c r="Y218" s="7"/>
      <c r="Z218" s="7"/>
      <c r="AA218" s="7"/>
      <c r="AB218" s="7">
        <f t="shared" si="17"/>
        <v>1</v>
      </c>
      <c r="AC218" s="7">
        <f t="shared" si="16"/>
        <v>1</v>
      </c>
      <c r="AD218" s="7"/>
      <c r="AE218" s="7"/>
      <c r="AF218" s="7"/>
      <c r="AG218" s="7"/>
      <c r="AH218" s="7"/>
      <c r="AI218" s="7"/>
      <c r="AJ218" s="7"/>
      <c r="AK218" s="7"/>
      <c r="AL218" s="9"/>
      <c r="AM218" s="7" t="s">
        <v>71</v>
      </c>
      <c r="AN218" s="7" t="s">
        <v>71</v>
      </c>
      <c r="AO218" s="12"/>
    </row>
    <row r="219" spans="1:41" s="11" customFormat="1" ht="24" x14ac:dyDescent="0.25">
      <c r="A219" s="2">
        <v>218</v>
      </c>
      <c r="B219" s="7" t="s">
        <v>240</v>
      </c>
      <c r="C219" s="7" t="s">
        <v>50</v>
      </c>
      <c r="D219" s="7">
        <v>11</v>
      </c>
      <c r="E219" s="7">
        <v>11</v>
      </c>
      <c r="F219" s="8">
        <v>1</v>
      </c>
      <c r="G219" s="8">
        <v>1</v>
      </c>
      <c r="H219" s="7">
        <v>1</v>
      </c>
      <c r="I219" s="7">
        <v>1</v>
      </c>
      <c r="J219" s="7" t="s">
        <v>176</v>
      </c>
      <c r="K219" s="7">
        <v>3</v>
      </c>
      <c r="L219" s="7" t="s">
        <v>52</v>
      </c>
      <c r="M219" s="7">
        <f t="shared" si="15"/>
        <v>1</v>
      </c>
      <c r="N219" s="9" t="s">
        <v>177</v>
      </c>
      <c r="O219" s="7">
        <v>0</v>
      </c>
      <c r="P219" s="9" t="s">
        <v>63</v>
      </c>
      <c r="Q219" s="7" t="s">
        <v>38</v>
      </c>
      <c r="R219" s="7" t="s">
        <v>38</v>
      </c>
      <c r="S219" s="10" t="s">
        <v>1612</v>
      </c>
      <c r="T219" s="7"/>
      <c r="U219" s="7"/>
      <c r="V219" s="7"/>
      <c r="W219" s="7"/>
      <c r="X219" s="7"/>
      <c r="Y219" s="7" t="s">
        <v>92</v>
      </c>
      <c r="Z219" s="7">
        <v>3</v>
      </c>
      <c r="AA219" s="7" t="s">
        <v>199</v>
      </c>
      <c r="AB219" s="7">
        <f t="shared" si="17"/>
        <v>1</v>
      </c>
      <c r="AC219" s="7">
        <f t="shared" si="16"/>
        <v>1</v>
      </c>
      <c r="AD219" s="7"/>
      <c r="AE219" s="7"/>
      <c r="AF219" s="7"/>
      <c r="AG219" s="7"/>
      <c r="AH219" s="7"/>
      <c r="AI219" s="7"/>
      <c r="AJ219" s="7"/>
      <c r="AK219" s="7"/>
      <c r="AL219" s="9"/>
      <c r="AM219" s="7" t="s">
        <v>71</v>
      </c>
      <c r="AN219" s="7" t="s">
        <v>71</v>
      </c>
      <c r="AO219" s="12"/>
    </row>
    <row r="220" spans="1:41" s="11" customFormat="1" x14ac:dyDescent="0.25">
      <c r="A220" s="2">
        <v>219</v>
      </c>
      <c r="B220" s="7" t="s">
        <v>240</v>
      </c>
      <c r="C220" s="7" t="s">
        <v>119</v>
      </c>
      <c r="D220" s="7">
        <v>8</v>
      </c>
      <c r="E220" s="7">
        <v>8</v>
      </c>
      <c r="F220" s="8">
        <v>1</v>
      </c>
      <c r="G220" s="8">
        <v>1</v>
      </c>
      <c r="H220" s="7">
        <v>1</v>
      </c>
      <c r="I220" s="7">
        <v>1</v>
      </c>
      <c r="J220" s="7" t="s">
        <v>176</v>
      </c>
      <c r="K220" s="7">
        <v>3</v>
      </c>
      <c r="L220" s="7" t="s">
        <v>52</v>
      </c>
      <c r="M220" s="7">
        <f t="shared" si="15"/>
        <v>1</v>
      </c>
      <c r="N220" s="9"/>
      <c r="O220" s="7"/>
      <c r="P220" s="9"/>
      <c r="Q220" s="7"/>
      <c r="R220" s="7" t="s">
        <v>52</v>
      </c>
      <c r="S220" s="10" t="s">
        <v>1613</v>
      </c>
      <c r="T220" s="7"/>
      <c r="U220" s="7"/>
      <c r="V220" s="7"/>
      <c r="W220" s="7"/>
      <c r="X220" s="7"/>
      <c r="Y220" s="7"/>
      <c r="Z220" s="7"/>
      <c r="AA220" s="7"/>
      <c r="AB220" s="7">
        <v>0.33333333333333298</v>
      </c>
      <c r="AC220" s="7">
        <f t="shared" si="16"/>
        <v>0.33333333333333298</v>
      </c>
      <c r="AD220" s="7">
        <v>1</v>
      </c>
      <c r="AE220" s="7"/>
      <c r="AF220" s="7" t="s">
        <v>40</v>
      </c>
      <c r="AG220" s="7" t="s">
        <v>162</v>
      </c>
      <c r="AH220" s="7"/>
      <c r="AI220" s="7"/>
      <c r="AJ220" s="7"/>
      <c r="AK220" s="7"/>
      <c r="AL220" s="9"/>
      <c r="AM220" s="7" t="s">
        <v>71</v>
      </c>
      <c r="AN220" s="7" t="s">
        <v>71</v>
      </c>
      <c r="AO220" s="7"/>
    </row>
    <row r="221" spans="1:41" s="11" customFormat="1" x14ac:dyDescent="0.25">
      <c r="A221" s="2">
        <v>220</v>
      </c>
      <c r="B221" s="7" t="s">
        <v>240</v>
      </c>
      <c r="C221" s="7" t="s">
        <v>100</v>
      </c>
      <c r="D221" s="7">
        <v>1</v>
      </c>
      <c r="E221" s="7">
        <v>1</v>
      </c>
      <c r="F221" s="8">
        <v>1</v>
      </c>
      <c r="G221" s="8">
        <v>1</v>
      </c>
      <c r="H221" s="7">
        <v>1</v>
      </c>
      <c r="I221" s="7">
        <v>1</v>
      </c>
      <c r="J221" s="7" t="s">
        <v>176</v>
      </c>
      <c r="K221" s="7">
        <v>3</v>
      </c>
      <c r="L221" s="7" t="s">
        <v>52</v>
      </c>
      <c r="M221" s="7">
        <f t="shared" si="15"/>
        <v>1</v>
      </c>
      <c r="N221" s="9" t="s">
        <v>177</v>
      </c>
      <c r="O221" s="7">
        <v>0</v>
      </c>
      <c r="P221" s="9" t="s">
        <v>63</v>
      </c>
      <c r="Q221" s="7" t="s">
        <v>38</v>
      </c>
      <c r="R221" s="7" t="s">
        <v>52</v>
      </c>
      <c r="S221" s="10" t="s">
        <v>1614</v>
      </c>
      <c r="T221" s="7"/>
      <c r="U221" s="7"/>
      <c r="V221" s="7"/>
      <c r="W221" s="7"/>
      <c r="X221" s="7">
        <v>3</v>
      </c>
      <c r="Y221" s="7"/>
      <c r="Z221" s="7"/>
      <c r="AA221" s="7"/>
      <c r="AB221" s="7">
        <f t="shared" ref="AB221:AB232" si="18">(U221+X221+Z221)/3</f>
        <v>1</v>
      </c>
      <c r="AC221" s="7">
        <f t="shared" si="16"/>
        <v>1</v>
      </c>
      <c r="AD221" s="7"/>
      <c r="AE221" s="7"/>
      <c r="AF221" s="7"/>
      <c r="AG221" s="7"/>
      <c r="AH221" s="7"/>
      <c r="AI221" s="7"/>
      <c r="AJ221" s="7"/>
      <c r="AK221" s="7"/>
      <c r="AL221" s="9"/>
      <c r="AM221" s="7" t="s">
        <v>71</v>
      </c>
      <c r="AN221" s="7" t="s">
        <v>71</v>
      </c>
      <c r="AO221" s="12"/>
    </row>
    <row r="222" spans="1:41" s="11" customFormat="1" ht="24" x14ac:dyDescent="0.25">
      <c r="A222" s="2">
        <v>221</v>
      </c>
      <c r="B222" s="7" t="s">
        <v>240</v>
      </c>
      <c r="C222" s="7" t="s">
        <v>78</v>
      </c>
      <c r="D222" s="7">
        <v>1</v>
      </c>
      <c r="E222" s="7">
        <v>1</v>
      </c>
      <c r="F222" s="8">
        <v>1</v>
      </c>
      <c r="G222" s="8">
        <v>1</v>
      </c>
      <c r="H222" s="7">
        <v>1</v>
      </c>
      <c r="I222" s="7">
        <v>1</v>
      </c>
      <c r="J222" s="7" t="s">
        <v>176</v>
      </c>
      <c r="K222" s="7">
        <v>7</v>
      </c>
      <c r="L222" s="7" t="s">
        <v>52</v>
      </c>
      <c r="M222" s="7">
        <f t="shared" si="15"/>
        <v>1</v>
      </c>
      <c r="N222" s="9" t="s">
        <v>109</v>
      </c>
      <c r="O222" s="7">
        <v>0</v>
      </c>
      <c r="P222" s="9" t="s">
        <v>63</v>
      </c>
      <c r="Q222" s="7" t="s">
        <v>38</v>
      </c>
      <c r="R222" s="7" t="s">
        <v>38</v>
      </c>
      <c r="S222" s="10" t="s">
        <v>1615</v>
      </c>
      <c r="T222" s="7">
        <v>3</v>
      </c>
      <c r="U222" s="7">
        <v>3</v>
      </c>
      <c r="V222" s="7" t="s">
        <v>267</v>
      </c>
      <c r="W222" s="7" t="s">
        <v>88</v>
      </c>
      <c r="X222" s="7"/>
      <c r="Y222" s="7"/>
      <c r="Z222" s="7"/>
      <c r="AA222" s="7"/>
      <c r="AB222" s="7">
        <f t="shared" si="18"/>
        <v>1</v>
      </c>
      <c r="AC222" s="7">
        <f t="shared" si="16"/>
        <v>1</v>
      </c>
      <c r="AD222" s="7"/>
      <c r="AE222" s="7"/>
      <c r="AF222" s="7"/>
      <c r="AG222" s="7"/>
      <c r="AH222" s="7"/>
      <c r="AI222" s="7"/>
      <c r="AJ222" s="7"/>
      <c r="AK222" s="7"/>
      <c r="AL222" s="9"/>
      <c r="AM222" s="7" t="s">
        <v>71</v>
      </c>
      <c r="AN222" s="7" t="s">
        <v>71</v>
      </c>
      <c r="AO222" s="7"/>
    </row>
    <row r="223" spans="1:41" s="11" customFormat="1" x14ac:dyDescent="0.25">
      <c r="A223" s="2">
        <v>222</v>
      </c>
      <c r="B223" s="7" t="s">
        <v>240</v>
      </c>
      <c r="C223" s="7" t="s">
        <v>100</v>
      </c>
      <c r="D223" s="7">
        <v>2</v>
      </c>
      <c r="E223" s="7">
        <v>2</v>
      </c>
      <c r="F223" s="8">
        <v>1</v>
      </c>
      <c r="G223" s="8">
        <v>1</v>
      </c>
      <c r="H223" s="7">
        <v>1</v>
      </c>
      <c r="I223" s="7">
        <v>1</v>
      </c>
      <c r="J223" s="7" t="s">
        <v>176</v>
      </c>
      <c r="K223" s="7" t="s">
        <v>268</v>
      </c>
      <c r="L223" s="7" t="s">
        <v>52</v>
      </c>
      <c r="M223" s="7">
        <f t="shared" si="15"/>
        <v>1</v>
      </c>
      <c r="N223" s="9" t="s">
        <v>177</v>
      </c>
      <c r="O223" s="7">
        <v>0</v>
      </c>
      <c r="P223" s="9" t="s">
        <v>63</v>
      </c>
      <c r="Q223" s="7" t="s">
        <v>38</v>
      </c>
      <c r="R223" s="7" t="s">
        <v>38</v>
      </c>
      <c r="S223" s="10" t="s">
        <v>1616</v>
      </c>
      <c r="T223" s="7"/>
      <c r="U223" s="7"/>
      <c r="V223" s="7"/>
      <c r="W223" s="7"/>
      <c r="X223" s="7">
        <v>3</v>
      </c>
      <c r="Y223" s="7"/>
      <c r="Z223" s="7"/>
      <c r="AA223" s="7"/>
      <c r="AB223" s="7">
        <f t="shared" si="18"/>
        <v>1</v>
      </c>
      <c r="AC223" s="7">
        <f t="shared" si="16"/>
        <v>1</v>
      </c>
      <c r="AD223" s="7"/>
      <c r="AE223" s="7"/>
      <c r="AF223" s="7"/>
      <c r="AG223" s="7"/>
      <c r="AH223" s="7"/>
      <c r="AI223" s="7"/>
      <c r="AJ223" s="7"/>
      <c r="AK223" s="7"/>
      <c r="AL223" s="9"/>
      <c r="AM223" s="7" t="s">
        <v>71</v>
      </c>
      <c r="AN223" s="7" t="s">
        <v>71</v>
      </c>
      <c r="AO223" s="7"/>
    </row>
    <row r="224" spans="1:41" s="11" customFormat="1" x14ac:dyDescent="0.25">
      <c r="A224" s="2">
        <v>223</v>
      </c>
      <c r="B224" s="7" t="s">
        <v>240</v>
      </c>
      <c r="C224" s="7" t="s">
        <v>50</v>
      </c>
      <c r="D224" s="7">
        <v>10</v>
      </c>
      <c r="E224" s="7">
        <v>10</v>
      </c>
      <c r="F224" s="8">
        <v>1</v>
      </c>
      <c r="G224" s="8">
        <v>1</v>
      </c>
      <c r="H224" s="7">
        <v>1</v>
      </c>
      <c r="I224" s="7">
        <v>1</v>
      </c>
      <c r="J224" s="7" t="s">
        <v>176</v>
      </c>
      <c r="K224" s="7" t="s">
        <v>268</v>
      </c>
      <c r="L224" s="7" t="s">
        <v>52</v>
      </c>
      <c r="M224" s="7">
        <f t="shared" si="15"/>
        <v>1</v>
      </c>
      <c r="N224" s="9" t="s">
        <v>177</v>
      </c>
      <c r="O224" s="7">
        <v>0</v>
      </c>
      <c r="P224" s="9" t="s">
        <v>63</v>
      </c>
      <c r="Q224" s="7" t="s">
        <v>38</v>
      </c>
      <c r="R224" s="7" t="s">
        <v>52</v>
      </c>
      <c r="S224" s="10" t="s">
        <v>1617</v>
      </c>
      <c r="T224" s="7"/>
      <c r="U224" s="7"/>
      <c r="V224" s="7"/>
      <c r="W224" s="7"/>
      <c r="X224" s="7"/>
      <c r="Y224" s="7">
        <v>6</v>
      </c>
      <c r="Z224" s="7">
        <v>6</v>
      </c>
      <c r="AA224" s="7" t="s">
        <v>267</v>
      </c>
      <c r="AB224" s="7">
        <f t="shared" si="18"/>
        <v>2</v>
      </c>
      <c r="AC224" s="7">
        <f t="shared" si="16"/>
        <v>2</v>
      </c>
      <c r="AD224" s="7"/>
      <c r="AE224" s="7"/>
      <c r="AF224" s="7"/>
      <c r="AG224" s="7"/>
      <c r="AH224" s="7"/>
      <c r="AI224" s="7"/>
      <c r="AJ224" s="7"/>
      <c r="AK224" s="7"/>
      <c r="AL224" s="9"/>
      <c r="AM224" s="7" t="s">
        <v>71</v>
      </c>
      <c r="AN224" s="7" t="s">
        <v>71</v>
      </c>
      <c r="AO224" s="7"/>
    </row>
    <row r="225" spans="1:41" s="11" customFormat="1" ht="24" x14ac:dyDescent="0.25">
      <c r="A225" s="2">
        <v>224</v>
      </c>
      <c r="B225" s="7" t="s">
        <v>240</v>
      </c>
      <c r="C225" s="7" t="s">
        <v>269</v>
      </c>
      <c r="D225" s="7" t="s">
        <v>270</v>
      </c>
      <c r="E225" s="7">
        <v>10</v>
      </c>
      <c r="F225" s="8">
        <v>1</v>
      </c>
      <c r="G225" s="8">
        <v>3</v>
      </c>
      <c r="H225" s="7" t="s">
        <v>97</v>
      </c>
      <c r="I225" s="7">
        <v>3</v>
      </c>
      <c r="J225" s="7" t="s">
        <v>176</v>
      </c>
      <c r="K225" s="7" t="s">
        <v>268</v>
      </c>
      <c r="L225" s="7" t="s">
        <v>52</v>
      </c>
      <c r="M225" s="7">
        <f t="shared" si="15"/>
        <v>1</v>
      </c>
      <c r="N225" s="9" t="s">
        <v>177</v>
      </c>
      <c r="O225" s="7">
        <v>0</v>
      </c>
      <c r="P225" s="9" t="s">
        <v>63</v>
      </c>
      <c r="Q225" s="7" t="s">
        <v>38</v>
      </c>
      <c r="R225" s="7" t="s">
        <v>52</v>
      </c>
      <c r="S225" s="10" t="s">
        <v>1618</v>
      </c>
      <c r="T225" s="7" t="s">
        <v>271</v>
      </c>
      <c r="U225" s="7">
        <v>5</v>
      </c>
      <c r="V225" s="7" t="s">
        <v>272</v>
      </c>
      <c r="W225" s="7" t="s">
        <v>254</v>
      </c>
      <c r="X225" s="7">
        <v>3</v>
      </c>
      <c r="Y225" s="7"/>
      <c r="Z225" s="7"/>
      <c r="AA225" s="7"/>
      <c r="AB225" s="7">
        <f t="shared" si="18"/>
        <v>2.6666666666666665</v>
      </c>
      <c r="AC225" s="7">
        <f t="shared" si="16"/>
        <v>2.6666666666666665</v>
      </c>
      <c r="AD225" s="7"/>
      <c r="AE225" s="7"/>
      <c r="AF225" s="7"/>
      <c r="AG225" s="7"/>
      <c r="AH225" s="7"/>
      <c r="AI225" s="7"/>
      <c r="AJ225" s="7"/>
      <c r="AK225" s="7"/>
      <c r="AL225" s="9"/>
      <c r="AM225" s="7" t="s">
        <v>71</v>
      </c>
      <c r="AN225" s="7" t="s">
        <v>71</v>
      </c>
      <c r="AO225" s="7"/>
    </row>
    <row r="226" spans="1:41" s="11" customFormat="1" ht="24" x14ac:dyDescent="0.25">
      <c r="A226" s="2">
        <v>225</v>
      </c>
      <c r="B226" s="7" t="s">
        <v>240</v>
      </c>
      <c r="C226" s="7" t="s">
        <v>78</v>
      </c>
      <c r="D226" s="7">
        <v>5</v>
      </c>
      <c r="E226" s="7">
        <v>5</v>
      </c>
      <c r="F226" s="8">
        <v>1</v>
      </c>
      <c r="G226" s="8">
        <v>1</v>
      </c>
      <c r="H226" s="7">
        <v>1</v>
      </c>
      <c r="I226" s="7">
        <v>1</v>
      </c>
      <c r="J226" s="7" t="s">
        <v>176</v>
      </c>
      <c r="K226" s="7" t="s">
        <v>268</v>
      </c>
      <c r="L226" s="7" t="s">
        <v>52</v>
      </c>
      <c r="M226" s="7">
        <f t="shared" si="15"/>
        <v>1</v>
      </c>
      <c r="N226" s="9"/>
      <c r="O226" s="7"/>
      <c r="P226" s="9"/>
      <c r="Q226" s="7"/>
      <c r="R226" s="7" t="s">
        <v>52</v>
      </c>
      <c r="S226" s="10" t="s">
        <v>1619</v>
      </c>
      <c r="T226" s="7" t="s">
        <v>92</v>
      </c>
      <c r="U226" s="7">
        <v>3</v>
      </c>
      <c r="V226" s="7" t="s">
        <v>81</v>
      </c>
      <c r="W226" s="7" t="s">
        <v>273</v>
      </c>
      <c r="X226" s="7"/>
      <c r="Y226" s="7"/>
      <c r="Z226" s="7"/>
      <c r="AA226" s="7"/>
      <c r="AB226" s="7">
        <f t="shared" si="18"/>
        <v>1</v>
      </c>
      <c r="AC226" s="7">
        <f t="shared" si="16"/>
        <v>1</v>
      </c>
      <c r="AD226" s="7"/>
      <c r="AE226" s="7"/>
      <c r="AF226" s="7"/>
      <c r="AG226" s="7"/>
      <c r="AH226" s="7"/>
      <c r="AI226" s="7"/>
      <c r="AJ226" s="7"/>
      <c r="AK226" s="7"/>
      <c r="AL226" s="9"/>
      <c r="AM226" s="7" t="s">
        <v>71</v>
      </c>
      <c r="AN226" s="7" t="s">
        <v>71</v>
      </c>
      <c r="AO226" s="7"/>
    </row>
    <row r="227" spans="1:41" s="11" customFormat="1" x14ac:dyDescent="0.25">
      <c r="A227" s="2">
        <v>226</v>
      </c>
      <c r="B227" s="7" t="s">
        <v>240</v>
      </c>
      <c r="C227" s="7" t="s">
        <v>100</v>
      </c>
      <c r="D227" s="7">
        <v>4</v>
      </c>
      <c r="E227" s="7">
        <v>4</v>
      </c>
      <c r="F227" s="8">
        <v>1</v>
      </c>
      <c r="G227" s="8">
        <v>1</v>
      </c>
      <c r="H227" s="7">
        <v>1</v>
      </c>
      <c r="I227" s="7">
        <v>1</v>
      </c>
      <c r="J227" s="7" t="s">
        <v>176</v>
      </c>
      <c r="K227" s="7" t="s">
        <v>268</v>
      </c>
      <c r="L227" s="7" t="s">
        <v>52</v>
      </c>
      <c r="M227" s="7">
        <f t="shared" si="15"/>
        <v>1</v>
      </c>
      <c r="N227" s="9" t="s">
        <v>177</v>
      </c>
      <c r="O227" s="7">
        <v>0</v>
      </c>
      <c r="P227" s="9" t="s">
        <v>63</v>
      </c>
      <c r="Q227" s="7" t="s">
        <v>38</v>
      </c>
      <c r="R227" s="7" t="s">
        <v>52</v>
      </c>
      <c r="S227" s="7" t="s">
        <v>274</v>
      </c>
      <c r="T227" s="7"/>
      <c r="U227" s="7"/>
      <c r="V227" s="7"/>
      <c r="W227" s="7"/>
      <c r="X227" s="7">
        <v>3</v>
      </c>
      <c r="Y227" s="7"/>
      <c r="Z227" s="7"/>
      <c r="AA227" s="7"/>
      <c r="AB227" s="7">
        <f t="shared" si="18"/>
        <v>1</v>
      </c>
      <c r="AC227" s="7">
        <f t="shared" si="16"/>
        <v>1</v>
      </c>
      <c r="AD227" s="7"/>
      <c r="AE227" s="7"/>
      <c r="AF227" s="7"/>
      <c r="AG227" s="7"/>
      <c r="AH227" s="7"/>
      <c r="AI227" s="7"/>
      <c r="AJ227" s="7"/>
      <c r="AK227" s="7"/>
      <c r="AL227" s="9"/>
      <c r="AM227" s="7" t="s">
        <v>71</v>
      </c>
      <c r="AN227" s="7" t="s">
        <v>71</v>
      </c>
      <c r="AO227" s="12"/>
    </row>
    <row r="228" spans="1:41" s="11" customFormat="1" ht="24" x14ac:dyDescent="0.25">
      <c r="A228" s="2">
        <v>227</v>
      </c>
      <c r="B228" s="7" t="s">
        <v>240</v>
      </c>
      <c r="C228" s="7" t="s">
        <v>100</v>
      </c>
      <c r="D228" s="7">
        <v>4</v>
      </c>
      <c r="E228" s="7">
        <v>4</v>
      </c>
      <c r="F228" s="8">
        <v>1</v>
      </c>
      <c r="G228" s="8">
        <v>1</v>
      </c>
      <c r="H228" s="7">
        <v>1</v>
      </c>
      <c r="I228" s="7">
        <v>1</v>
      </c>
      <c r="J228" s="7" t="s">
        <v>176</v>
      </c>
      <c r="K228" s="7" t="s">
        <v>268</v>
      </c>
      <c r="L228" s="7" t="s">
        <v>52</v>
      </c>
      <c r="M228" s="7">
        <f t="shared" si="15"/>
        <v>1</v>
      </c>
      <c r="N228" s="9" t="s">
        <v>109</v>
      </c>
      <c r="O228" s="7">
        <v>0</v>
      </c>
      <c r="P228" s="9" t="s">
        <v>63</v>
      </c>
      <c r="Q228" s="7" t="s">
        <v>38</v>
      </c>
      <c r="R228" s="7" t="s">
        <v>38</v>
      </c>
      <c r="S228" s="7" t="s">
        <v>275</v>
      </c>
      <c r="T228" s="7"/>
      <c r="U228" s="7"/>
      <c r="V228" s="7"/>
      <c r="W228" s="7"/>
      <c r="X228" s="7">
        <v>3</v>
      </c>
      <c r="Y228" s="7"/>
      <c r="Z228" s="7"/>
      <c r="AA228" s="7"/>
      <c r="AB228" s="7">
        <f t="shared" si="18"/>
        <v>1</v>
      </c>
      <c r="AC228" s="7">
        <f t="shared" si="16"/>
        <v>1</v>
      </c>
      <c r="AD228" s="7"/>
      <c r="AE228" s="7"/>
      <c r="AF228" s="7"/>
      <c r="AG228" s="7"/>
      <c r="AH228" s="7"/>
      <c r="AI228" s="7"/>
      <c r="AJ228" s="7"/>
      <c r="AK228" s="7"/>
      <c r="AL228" s="9"/>
      <c r="AM228" s="7" t="s">
        <v>71</v>
      </c>
      <c r="AN228" s="7" t="s">
        <v>71</v>
      </c>
      <c r="AO228" s="7"/>
    </row>
    <row r="229" spans="1:41" s="11" customFormat="1" x14ac:dyDescent="0.25">
      <c r="A229" s="2">
        <v>228</v>
      </c>
      <c r="B229" s="7" t="s">
        <v>240</v>
      </c>
      <c r="C229" s="7" t="s">
        <v>100</v>
      </c>
      <c r="D229" s="7">
        <v>12</v>
      </c>
      <c r="E229" s="7">
        <v>12</v>
      </c>
      <c r="F229" s="8">
        <v>1</v>
      </c>
      <c r="G229" s="8">
        <v>1</v>
      </c>
      <c r="H229" s="7">
        <v>1</v>
      </c>
      <c r="I229" s="7">
        <v>1</v>
      </c>
      <c r="J229" s="7" t="s">
        <v>176</v>
      </c>
      <c r="K229" s="7" t="s">
        <v>268</v>
      </c>
      <c r="L229" s="7" t="s">
        <v>52</v>
      </c>
      <c r="M229" s="7">
        <f t="shared" si="15"/>
        <v>1</v>
      </c>
      <c r="N229" s="9" t="s">
        <v>177</v>
      </c>
      <c r="O229" s="7">
        <v>0</v>
      </c>
      <c r="P229" s="9" t="s">
        <v>63</v>
      </c>
      <c r="Q229" s="7" t="s">
        <v>38</v>
      </c>
      <c r="R229" s="7" t="s">
        <v>52</v>
      </c>
      <c r="S229" s="10" t="s">
        <v>414</v>
      </c>
      <c r="T229" s="7"/>
      <c r="U229" s="7"/>
      <c r="V229" s="7"/>
      <c r="W229" s="7"/>
      <c r="X229" s="7">
        <v>3</v>
      </c>
      <c r="Y229" s="7"/>
      <c r="Z229" s="7"/>
      <c r="AA229" s="7"/>
      <c r="AB229" s="7">
        <f t="shared" si="18"/>
        <v>1</v>
      </c>
      <c r="AC229" s="7">
        <f t="shared" si="16"/>
        <v>1</v>
      </c>
      <c r="AD229" s="7"/>
      <c r="AE229" s="7"/>
      <c r="AF229" s="7"/>
      <c r="AG229" s="7"/>
      <c r="AH229" s="7"/>
      <c r="AI229" s="7"/>
      <c r="AJ229" s="7"/>
      <c r="AK229" s="7"/>
      <c r="AL229" s="9"/>
      <c r="AM229" s="7" t="s">
        <v>71</v>
      </c>
      <c r="AN229" s="7" t="s">
        <v>71</v>
      </c>
      <c r="AO229" s="7"/>
    </row>
    <row r="230" spans="1:41" s="11" customFormat="1" ht="24" x14ac:dyDescent="0.25">
      <c r="A230" s="2">
        <v>229</v>
      </c>
      <c r="B230" s="7" t="s">
        <v>276</v>
      </c>
      <c r="C230" s="7" t="s">
        <v>237</v>
      </c>
      <c r="D230" s="7" t="s">
        <v>277</v>
      </c>
      <c r="E230" s="7">
        <f>118+27+22+21+20+15+12+95+4</f>
        <v>334</v>
      </c>
      <c r="F230" s="8">
        <v>1</v>
      </c>
      <c r="G230" s="8">
        <v>11</v>
      </c>
      <c r="H230" s="7">
        <v>11</v>
      </c>
      <c r="I230" s="7">
        <v>11</v>
      </c>
      <c r="J230" s="7" t="s">
        <v>219</v>
      </c>
      <c r="K230" s="7">
        <v>1</v>
      </c>
      <c r="L230" s="7" t="s">
        <v>52</v>
      </c>
      <c r="M230" s="7">
        <f t="shared" si="15"/>
        <v>1</v>
      </c>
      <c r="N230" s="9" t="s">
        <v>34</v>
      </c>
      <c r="O230" s="7">
        <v>0</v>
      </c>
      <c r="P230" s="9" t="s">
        <v>63</v>
      </c>
      <c r="Q230" s="7" t="s">
        <v>38</v>
      </c>
      <c r="R230" s="7" t="s">
        <v>38</v>
      </c>
      <c r="S230" s="10" t="s">
        <v>1620</v>
      </c>
      <c r="T230" s="7">
        <v>27</v>
      </c>
      <c r="U230" s="7">
        <v>27</v>
      </c>
      <c r="V230" s="7">
        <v>160</v>
      </c>
      <c r="W230" s="7" t="s">
        <v>239</v>
      </c>
      <c r="X230" s="7">
        <v>10</v>
      </c>
      <c r="Y230" s="7"/>
      <c r="Z230" s="7"/>
      <c r="AA230" s="7"/>
      <c r="AB230" s="7">
        <f t="shared" si="18"/>
        <v>12.333333333333334</v>
      </c>
      <c r="AC230" s="7">
        <f t="shared" si="16"/>
        <v>12.333333333333334</v>
      </c>
      <c r="AD230" s="7"/>
      <c r="AE230" s="7"/>
      <c r="AF230" s="7"/>
      <c r="AG230" s="7"/>
      <c r="AH230" s="7"/>
      <c r="AI230" s="7"/>
      <c r="AJ230" s="7"/>
      <c r="AK230" s="7"/>
      <c r="AL230" s="9"/>
      <c r="AM230" s="7" t="s">
        <v>279</v>
      </c>
      <c r="AN230" s="7" t="s">
        <v>662</v>
      </c>
      <c r="AO230" s="7"/>
    </row>
    <row r="231" spans="1:41" s="11" customFormat="1" x14ac:dyDescent="0.25">
      <c r="A231" s="2">
        <v>230</v>
      </c>
      <c r="B231" s="7" t="s">
        <v>240</v>
      </c>
      <c r="C231" s="7" t="s">
        <v>50</v>
      </c>
      <c r="D231" s="7">
        <v>67</v>
      </c>
      <c r="E231" s="7">
        <v>67</v>
      </c>
      <c r="F231" s="8">
        <v>1</v>
      </c>
      <c r="G231" s="8">
        <v>1</v>
      </c>
      <c r="H231" s="7">
        <v>1</v>
      </c>
      <c r="I231" s="7">
        <v>1</v>
      </c>
      <c r="J231" s="7" t="s">
        <v>219</v>
      </c>
      <c r="K231" s="7">
        <v>1</v>
      </c>
      <c r="L231" s="7" t="s">
        <v>52</v>
      </c>
      <c r="M231" s="7">
        <f t="shared" si="15"/>
        <v>1</v>
      </c>
      <c r="N231" s="9" t="s">
        <v>34</v>
      </c>
      <c r="O231" s="7">
        <v>0</v>
      </c>
      <c r="P231" s="9" t="s">
        <v>36</v>
      </c>
      <c r="Q231" s="7" t="s">
        <v>38</v>
      </c>
      <c r="R231" s="7" t="s">
        <v>38</v>
      </c>
      <c r="S231" s="10" t="s">
        <v>1621</v>
      </c>
      <c r="T231" s="7"/>
      <c r="U231" s="7"/>
      <c r="V231" s="7"/>
      <c r="W231" s="7"/>
      <c r="X231" s="7"/>
      <c r="Y231" s="7">
        <v>15</v>
      </c>
      <c r="Z231" s="7">
        <v>15</v>
      </c>
      <c r="AA231" s="7">
        <v>140</v>
      </c>
      <c r="AB231" s="7">
        <f t="shared" si="18"/>
        <v>5</v>
      </c>
      <c r="AC231" s="7">
        <f t="shared" si="16"/>
        <v>5</v>
      </c>
      <c r="AD231" s="7"/>
      <c r="AE231" s="7"/>
      <c r="AF231" s="7"/>
      <c r="AG231" s="7"/>
      <c r="AH231" s="7"/>
      <c r="AI231" s="7"/>
      <c r="AJ231" s="7"/>
      <c r="AK231" s="7"/>
      <c r="AL231" s="9"/>
      <c r="AM231" s="7" t="s">
        <v>71</v>
      </c>
      <c r="AN231" s="7" t="s">
        <v>71</v>
      </c>
      <c r="AO231" s="12"/>
    </row>
    <row r="232" spans="1:41" s="11" customFormat="1" ht="24" x14ac:dyDescent="0.25">
      <c r="A232" s="2">
        <v>231</v>
      </c>
      <c r="B232" s="7" t="s">
        <v>240</v>
      </c>
      <c r="C232" s="7" t="s">
        <v>78</v>
      </c>
      <c r="D232" s="7">
        <v>31</v>
      </c>
      <c r="E232" s="7">
        <v>31</v>
      </c>
      <c r="F232" s="8">
        <v>1</v>
      </c>
      <c r="G232" s="8">
        <v>1</v>
      </c>
      <c r="H232" s="7">
        <v>1</v>
      </c>
      <c r="I232" s="7">
        <v>1</v>
      </c>
      <c r="J232" s="7" t="s">
        <v>219</v>
      </c>
      <c r="K232" s="7">
        <v>1</v>
      </c>
      <c r="L232" s="7" t="s">
        <v>52</v>
      </c>
      <c r="M232" s="7">
        <f t="shared" si="15"/>
        <v>1</v>
      </c>
      <c r="N232" s="9" t="s">
        <v>34</v>
      </c>
      <c r="O232" s="7">
        <v>0</v>
      </c>
      <c r="P232" s="9" t="s">
        <v>33</v>
      </c>
      <c r="Q232" s="7" t="s">
        <v>38</v>
      </c>
      <c r="R232" s="7" t="s">
        <v>52</v>
      </c>
      <c r="S232" s="10" t="s">
        <v>1622</v>
      </c>
      <c r="T232" s="7">
        <v>5</v>
      </c>
      <c r="U232" s="7">
        <v>5</v>
      </c>
      <c r="V232" s="7">
        <v>420</v>
      </c>
      <c r="W232" s="7" t="s">
        <v>79</v>
      </c>
      <c r="X232" s="7"/>
      <c r="Y232" s="7"/>
      <c r="Z232" s="7"/>
      <c r="AA232" s="7"/>
      <c r="AB232" s="7">
        <f t="shared" si="18"/>
        <v>1.6666666666666667</v>
      </c>
      <c r="AC232" s="7">
        <f t="shared" si="16"/>
        <v>1.6666666666666667</v>
      </c>
      <c r="AD232" s="7"/>
      <c r="AE232" s="7"/>
      <c r="AF232" s="7"/>
      <c r="AG232" s="7"/>
      <c r="AH232" s="7"/>
      <c r="AI232" s="7"/>
      <c r="AJ232" s="7"/>
      <c r="AK232" s="7"/>
      <c r="AL232" s="9"/>
      <c r="AM232" s="7" t="s">
        <v>198</v>
      </c>
      <c r="AN232" s="7" t="s">
        <v>2850</v>
      </c>
      <c r="AO232" s="7"/>
    </row>
    <row r="233" spans="1:41" s="11" customFormat="1" x14ac:dyDescent="0.25">
      <c r="A233" s="2">
        <v>232</v>
      </c>
      <c r="B233" s="7" t="s">
        <v>240</v>
      </c>
      <c r="C233" s="7" t="s">
        <v>119</v>
      </c>
      <c r="D233" s="7">
        <v>28</v>
      </c>
      <c r="E233" s="7">
        <v>28</v>
      </c>
      <c r="F233" s="8">
        <v>1</v>
      </c>
      <c r="G233" s="8">
        <v>1</v>
      </c>
      <c r="H233" s="7">
        <v>1</v>
      </c>
      <c r="I233" s="7">
        <v>1</v>
      </c>
      <c r="J233" s="7" t="s">
        <v>219</v>
      </c>
      <c r="K233" s="7">
        <v>1</v>
      </c>
      <c r="L233" s="7" t="s">
        <v>52</v>
      </c>
      <c r="M233" s="7">
        <f t="shared" si="15"/>
        <v>1</v>
      </c>
      <c r="N233" s="9" t="s">
        <v>34</v>
      </c>
      <c r="O233" s="7">
        <v>0</v>
      </c>
      <c r="P233" s="9" t="s">
        <v>63</v>
      </c>
      <c r="Q233" s="7"/>
      <c r="R233" s="7" t="s">
        <v>38</v>
      </c>
      <c r="S233" s="10" t="s">
        <v>1623</v>
      </c>
      <c r="T233" s="7"/>
      <c r="U233" s="7"/>
      <c r="V233" s="7"/>
      <c r="W233" s="7"/>
      <c r="X233" s="7"/>
      <c r="Y233" s="7"/>
      <c r="Z233" s="7"/>
      <c r="AA233" s="7"/>
      <c r="AB233" s="7">
        <v>0.33333333333333298</v>
      </c>
      <c r="AC233" s="7">
        <f t="shared" si="16"/>
        <v>0.33333333333333298</v>
      </c>
      <c r="AD233" s="7"/>
      <c r="AE233" s="7"/>
      <c r="AF233" s="7" t="s">
        <v>40</v>
      </c>
      <c r="AG233" s="7" t="s">
        <v>247</v>
      </c>
      <c r="AH233" s="7"/>
      <c r="AI233" s="7"/>
      <c r="AJ233" s="7"/>
      <c r="AK233" s="7"/>
      <c r="AL233" s="9"/>
      <c r="AM233" s="7" t="s">
        <v>71</v>
      </c>
      <c r="AN233" s="7" t="s">
        <v>71</v>
      </c>
      <c r="AO233" s="12"/>
    </row>
    <row r="234" spans="1:41" s="11" customFormat="1" ht="24" x14ac:dyDescent="0.25">
      <c r="A234" s="2">
        <v>233</v>
      </c>
      <c r="B234" s="7" t="s">
        <v>240</v>
      </c>
      <c r="C234" s="7" t="s">
        <v>269</v>
      </c>
      <c r="D234" s="7" t="s">
        <v>280</v>
      </c>
      <c r="E234" s="7">
        <v>11</v>
      </c>
      <c r="F234" s="8">
        <v>1</v>
      </c>
      <c r="G234" s="8">
        <v>2</v>
      </c>
      <c r="H234" s="7" t="s">
        <v>87</v>
      </c>
      <c r="I234" s="7">
        <v>2</v>
      </c>
      <c r="J234" s="7" t="s">
        <v>219</v>
      </c>
      <c r="K234" s="7">
        <v>1</v>
      </c>
      <c r="L234" s="7" t="s">
        <v>52</v>
      </c>
      <c r="M234" s="7">
        <f t="shared" si="15"/>
        <v>1</v>
      </c>
      <c r="N234" s="9" t="s">
        <v>34</v>
      </c>
      <c r="O234" s="7">
        <v>0</v>
      </c>
      <c r="P234" s="9" t="s">
        <v>63</v>
      </c>
      <c r="Q234" s="7" t="s">
        <v>38</v>
      </c>
      <c r="R234" s="7" t="s">
        <v>38</v>
      </c>
      <c r="S234" s="10" t="s">
        <v>1624</v>
      </c>
      <c r="T234" s="7" t="s">
        <v>92</v>
      </c>
      <c r="U234" s="7">
        <v>3</v>
      </c>
      <c r="V234" s="7" t="s">
        <v>199</v>
      </c>
      <c r="W234" s="7" t="s">
        <v>136</v>
      </c>
      <c r="X234" s="7">
        <v>3</v>
      </c>
      <c r="Y234" s="7"/>
      <c r="Z234" s="7"/>
      <c r="AA234" s="7"/>
      <c r="AB234" s="7">
        <f t="shared" ref="AB234:AB277" si="19">(U234+X234+Z234)/3</f>
        <v>2</v>
      </c>
      <c r="AC234" s="7">
        <f t="shared" si="16"/>
        <v>2</v>
      </c>
      <c r="AD234" s="7"/>
      <c r="AE234" s="7"/>
      <c r="AF234" s="7"/>
      <c r="AG234" s="7"/>
      <c r="AH234" s="7"/>
      <c r="AI234" s="7"/>
      <c r="AJ234" s="7"/>
      <c r="AK234" s="7"/>
      <c r="AL234" s="9"/>
      <c r="AM234" s="7" t="s">
        <v>71</v>
      </c>
      <c r="AN234" s="7" t="s">
        <v>71</v>
      </c>
      <c r="AO234" s="12"/>
    </row>
    <row r="235" spans="1:41" s="11" customFormat="1" x14ac:dyDescent="0.25">
      <c r="A235" s="2">
        <v>234</v>
      </c>
      <c r="B235" s="7" t="s">
        <v>240</v>
      </c>
      <c r="C235" s="7" t="s">
        <v>89</v>
      </c>
      <c r="D235" s="7" t="s">
        <v>281</v>
      </c>
      <c r="E235" s="7">
        <v>59</v>
      </c>
      <c r="F235" s="8">
        <v>2</v>
      </c>
      <c r="G235" s="8">
        <v>2</v>
      </c>
      <c r="H235" s="7" t="s">
        <v>87</v>
      </c>
      <c r="I235" s="7">
        <v>2</v>
      </c>
      <c r="J235" s="7" t="s">
        <v>219</v>
      </c>
      <c r="K235" s="7">
        <v>1</v>
      </c>
      <c r="L235" s="7" t="s">
        <v>52</v>
      </c>
      <c r="M235" s="7">
        <f t="shared" si="15"/>
        <v>2</v>
      </c>
      <c r="N235" s="9" t="s">
        <v>82</v>
      </c>
      <c r="O235" s="7">
        <v>0</v>
      </c>
      <c r="P235" s="9" t="s">
        <v>36</v>
      </c>
      <c r="Q235" s="7" t="s">
        <v>38</v>
      </c>
      <c r="R235" s="7" t="s">
        <v>38</v>
      </c>
      <c r="S235" s="10" t="s">
        <v>1625</v>
      </c>
      <c r="T235" s="7"/>
      <c r="U235" s="7"/>
      <c r="V235" s="7"/>
      <c r="W235" s="7"/>
      <c r="X235" s="7">
        <v>3</v>
      </c>
      <c r="Y235" s="7"/>
      <c r="Z235" s="7"/>
      <c r="AA235" s="7"/>
      <c r="AB235" s="7">
        <f t="shared" si="19"/>
        <v>1</v>
      </c>
      <c r="AC235" s="7">
        <f t="shared" si="16"/>
        <v>1</v>
      </c>
      <c r="AD235" s="7"/>
      <c r="AE235" s="7"/>
      <c r="AF235" s="7"/>
      <c r="AG235" s="7"/>
      <c r="AH235" s="7"/>
      <c r="AI235" s="7"/>
      <c r="AJ235" s="7"/>
      <c r="AK235" s="7"/>
      <c r="AL235" s="9"/>
      <c r="AM235" s="7" t="s">
        <v>71</v>
      </c>
      <c r="AN235" s="7" t="s">
        <v>71</v>
      </c>
      <c r="AO235" s="12"/>
    </row>
    <row r="236" spans="1:41" s="11" customFormat="1" x14ac:dyDescent="0.25">
      <c r="A236" s="2">
        <v>235</v>
      </c>
      <c r="B236" s="7" t="s">
        <v>240</v>
      </c>
      <c r="C236" s="7" t="s">
        <v>100</v>
      </c>
      <c r="D236" s="7">
        <v>6</v>
      </c>
      <c r="E236" s="7">
        <v>6</v>
      </c>
      <c r="F236" s="8">
        <v>1</v>
      </c>
      <c r="G236" s="8">
        <v>1</v>
      </c>
      <c r="H236" s="7">
        <v>1</v>
      </c>
      <c r="I236" s="7">
        <v>1</v>
      </c>
      <c r="J236" s="7" t="s">
        <v>219</v>
      </c>
      <c r="K236" s="7">
        <v>1</v>
      </c>
      <c r="L236" s="7" t="s">
        <v>52</v>
      </c>
      <c r="M236" s="7">
        <f t="shared" si="15"/>
        <v>1</v>
      </c>
      <c r="N236" s="9" t="s">
        <v>36</v>
      </c>
      <c r="O236" s="7">
        <v>0</v>
      </c>
      <c r="P236" s="9" t="s">
        <v>34</v>
      </c>
      <c r="Q236" s="7" t="s">
        <v>38</v>
      </c>
      <c r="R236" s="7" t="s">
        <v>52</v>
      </c>
      <c r="S236" s="10" t="s">
        <v>1588</v>
      </c>
      <c r="T236" s="7"/>
      <c r="U236" s="7"/>
      <c r="V236" s="7"/>
      <c r="W236" s="7"/>
      <c r="X236" s="7">
        <v>3</v>
      </c>
      <c r="Y236" s="7"/>
      <c r="Z236" s="7"/>
      <c r="AA236" s="7"/>
      <c r="AB236" s="7">
        <f t="shared" si="19"/>
        <v>1</v>
      </c>
      <c r="AC236" s="7">
        <f t="shared" si="16"/>
        <v>1</v>
      </c>
      <c r="AD236" s="7"/>
      <c r="AE236" s="7"/>
      <c r="AF236" s="7"/>
      <c r="AG236" s="7"/>
      <c r="AH236" s="7"/>
      <c r="AI236" s="7"/>
      <c r="AJ236" s="7"/>
      <c r="AK236" s="7"/>
      <c r="AL236" s="9"/>
      <c r="AM236" s="7" t="s">
        <v>71</v>
      </c>
      <c r="AN236" s="7" t="s">
        <v>71</v>
      </c>
      <c r="AO236" s="12"/>
    </row>
    <row r="237" spans="1:41" s="11" customFormat="1" x14ac:dyDescent="0.25">
      <c r="A237" s="2">
        <v>236</v>
      </c>
      <c r="B237" s="7" t="s">
        <v>240</v>
      </c>
      <c r="C237" s="7" t="s">
        <v>89</v>
      </c>
      <c r="D237" s="7" t="s">
        <v>282</v>
      </c>
      <c r="E237" s="7">
        <v>45</v>
      </c>
      <c r="F237" s="8">
        <v>2</v>
      </c>
      <c r="G237" s="8">
        <v>2</v>
      </c>
      <c r="H237" s="7">
        <v>2</v>
      </c>
      <c r="I237" s="7">
        <v>2</v>
      </c>
      <c r="J237" s="7" t="s">
        <v>219</v>
      </c>
      <c r="K237" s="7">
        <v>1</v>
      </c>
      <c r="L237" s="7" t="s">
        <v>52</v>
      </c>
      <c r="M237" s="7">
        <f t="shared" si="15"/>
        <v>2</v>
      </c>
      <c r="N237" s="9" t="s">
        <v>82</v>
      </c>
      <c r="O237" s="7">
        <v>0</v>
      </c>
      <c r="P237" s="9" t="s">
        <v>36</v>
      </c>
      <c r="Q237" s="7" t="s">
        <v>38</v>
      </c>
      <c r="R237" s="7" t="s">
        <v>38</v>
      </c>
      <c r="S237" s="10" t="s">
        <v>1626</v>
      </c>
      <c r="T237" s="7"/>
      <c r="U237" s="7"/>
      <c r="V237" s="7"/>
      <c r="W237" s="7"/>
      <c r="X237" s="7">
        <v>3</v>
      </c>
      <c r="Y237" s="7"/>
      <c r="Z237" s="7"/>
      <c r="AA237" s="7"/>
      <c r="AB237" s="7">
        <f t="shared" si="19"/>
        <v>1</v>
      </c>
      <c r="AC237" s="7">
        <f t="shared" si="16"/>
        <v>1</v>
      </c>
      <c r="AD237" s="7"/>
      <c r="AE237" s="7"/>
      <c r="AF237" s="7"/>
      <c r="AG237" s="7"/>
      <c r="AH237" s="7"/>
      <c r="AI237" s="7"/>
      <c r="AJ237" s="7"/>
      <c r="AK237" s="7"/>
      <c r="AL237" s="9"/>
      <c r="AM237" s="7" t="s">
        <v>71</v>
      </c>
      <c r="AN237" s="7" t="s">
        <v>71</v>
      </c>
      <c r="AO237" s="12"/>
    </row>
    <row r="238" spans="1:41" s="11" customFormat="1" ht="24" x14ac:dyDescent="0.25">
      <c r="A238" s="2">
        <v>237</v>
      </c>
      <c r="B238" s="7" t="s">
        <v>240</v>
      </c>
      <c r="C238" s="7" t="s">
        <v>237</v>
      </c>
      <c r="D238" s="7">
        <v>365</v>
      </c>
      <c r="E238" s="7">
        <v>365</v>
      </c>
      <c r="F238" s="8">
        <v>1</v>
      </c>
      <c r="G238" s="8">
        <v>1</v>
      </c>
      <c r="H238" s="7">
        <v>1</v>
      </c>
      <c r="I238" s="7">
        <v>1</v>
      </c>
      <c r="J238" s="7" t="s">
        <v>219</v>
      </c>
      <c r="K238" s="7">
        <v>6</v>
      </c>
      <c r="L238" s="7" t="s">
        <v>52</v>
      </c>
      <c r="M238" s="7">
        <f t="shared" si="15"/>
        <v>1</v>
      </c>
      <c r="N238" s="9" t="s">
        <v>34</v>
      </c>
      <c r="O238" s="7">
        <v>0</v>
      </c>
      <c r="P238" s="9" t="s">
        <v>34</v>
      </c>
      <c r="Q238" s="7" t="s">
        <v>283</v>
      </c>
      <c r="R238" s="7" t="s">
        <v>283</v>
      </c>
      <c r="S238" s="10" t="s">
        <v>1589</v>
      </c>
      <c r="T238" s="7">
        <v>10</v>
      </c>
      <c r="U238" s="7">
        <v>10</v>
      </c>
      <c r="V238" s="7">
        <v>120</v>
      </c>
      <c r="W238" s="7" t="s">
        <v>184</v>
      </c>
      <c r="X238" s="7">
        <v>15</v>
      </c>
      <c r="Y238" s="7"/>
      <c r="Z238" s="7"/>
      <c r="AA238" s="7"/>
      <c r="AB238" s="7">
        <f t="shared" si="19"/>
        <v>8.3333333333333339</v>
      </c>
      <c r="AC238" s="7">
        <f t="shared" si="16"/>
        <v>8.3333333333333339</v>
      </c>
      <c r="AD238" s="7">
        <v>1</v>
      </c>
      <c r="AE238" s="7"/>
      <c r="AF238" s="7" t="s">
        <v>155</v>
      </c>
      <c r="AG238" s="7" t="s">
        <v>133</v>
      </c>
      <c r="AH238" s="7"/>
      <c r="AI238" s="7"/>
      <c r="AJ238" s="7"/>
      <c r="AK238" s="7"/>
      <c r="AL238" s="9"/>
      <c r="AM238" s="7" t="s">
        <v>284</v>
      </c>
      <c r="AN238" s="7" t="s">
        <v>662</v>
      </c>
      <c r="AO238" s="7"/>
    </row>
    <row r="239" spans="1:41" s="11" customFormat="1" x14ac:dyDescent="0.25">
      <c r="A239" s="2">
        <v>238</v>
      </c>
      <c r="B239" s="7" t="s">
        <v>240</v>
      </c>
      <c r="C239" s="7" t="s">
        <v>89</v>
      </c>
      <c r="D239" s="7" t="s">
        <v>285</v>
      </c>
      <c r="E239" s="7">
        <f>45+43+18+12</f>
        <v>118</v>
      </c>
      <c r="F239" s="8">
        <v>2</v>
      </c>
      <c r="G239" s="8">
        <v>4</v>
      </c>
      <c r="H239" s="7" t="s">
        <v>91</v>
      </c>
      <c r="I239" s="7">
        <v>4</v>
      </c>
      <c r="J239" s="7" t="s">
        <v>219</v>
      </c>
      <c r="K239" s="7">
        <v>6</v>
      </c>
      <c r="L239" s="7" t="s">
        <v>52</v>
      </c>
      <c r="M239" s="7">
        <f t="shared" si="15"/>
        <v>2</v>
      </c>
      <c r="N239" s="9" t="s">
        <v>34</v>
      </c>
      <c r="O239" s="7">
        <v>0</v>
      </c>
      <c r="P239" s="9" t="s">
        <v>37</v>
      </c>
      <c r="Q239" s="7" t="s">
        <v>38</v>
      </c>
      <c r="R239" s="7" t="s">
        <v>38</v>
      </c>
      <c r="S239" s="10" t="s">
        <v>1627</v>
      </c>
      <c r="T239" s="7"/>
      <c r="U239" s="7"/>
      <c r="V239" s="7"/>
      <c r="W239" s="7"/>
      <c r="X239" s="7">
        <v>3</v>
      </c>
      <c r="Y239" s="7"/>
      <c r="Z239" s="7"/>
      <c r="AA239" s="7"/>
      <c r="AB239" s="7">
        <f t="shared" si="19"/>
        <v>1</v>
      </c>
      <c r="AC239" s="7">
        <f t="shared" si="16"/>
        <v>1</v>
      </c>
      <c r="AD239" s="7"/>
      <c r="AE239" s="7"/>
      <c r="AF239" s="7"/>
      <c r="AG239" s="7"/>
      <c r="AH239" s="7"/>
      <c r="AI239" s="7"/>
      <c r="AJ239" s="7"/>
      <c r="AK239" s="7"/>
      <c r="AL239" s="9"/>
      <c r="AM239" s="7" t="s">
        <v>71</v>
      </c>
      <c r="AN239" s="7" t="s">
        <v>71</v>
      </c>
      <c r="AO239" s="12"/>
    </row>
    <row r="240" spans="1:41" s="11" customFormat="1" ht="36" x14ac:dyDescent="0.25">
      <c r="A240" s="2">
        <v>239</v>
      </c>
      <c r="B240" s="7" t="s">
        <v>240</v>
      </c>
      <c r="C240" s="7" t="s">
        <v>78</v>
      </c>
      <c r="D240" s="7">
        <v>69</v>
      </c>
      <c r="E240" s="7">
        <v>69</v>
      </c>
      <c r="F240" s="8">
        <v>1</v>
      </c>
      <c r="G240" s="8">
        <v>1</v>
      </c>
      <c r="H240" s="7">
        <v>1</v>
      </c>
      <c r="I240" s="7">
        <v>1</v>
      </c>
      <c r="J240" s="7" t="s">
        <v>219</v>
      </c>
      <c r="K240" s="7">
        <v>3</v>
      </c>
      <c r="L240" s="7" t="s">
        <v>52</v>
      </c>
      <c r="M240" s="7">
        <f t="shared" si="15"/>
        <v>1</v>
      </c>
      <c r="N240" s="9" t="s">
        <v>82</v>
      </c>
      <c r="O240" s="7">
        <v>0</v>
      </c>
      <c r="P240" s="9" t="s">
        <v>34</v>
      </c>
      <c r="Q240" s="7" t="s">
        <v>38</v>
      </c>
      <c r="R240" s="7" t="s">
        <v>38</v>
      </c>
      <c r="S240" s="10" t="s">
        <v>1628</v>
      </c>
      <c r="T240" s="7">
        <v>15</v>
      </c>
      <c r="U240" s="7">
        <v>15</v>
      </c>
      <c r="V240" s="7" t="s">
        <v>286</v>
      </c>
      <c r="W240" s="7" t="s">
        <v>287</v>
      </c>
      <c r="X240" s="7"/>
      <c r="Y240" s="7"/>
      <c r="Z240" s="7"/>
      <c r="AA240" s="7"/>
      <c r="AB240" s="7">
        <f t="shared" si="19"/>
        <v>5</v>
      </c>
      <c r="AC240" s="7">
        <f t="shared" si="16"/>
        <v>5</v>
      </c>
      <c r="AD240" s="7"/>
      <c r="AE240" s="7"/>
      <c r="AF240" s="7"/>
      <c r="AG240" s="7"/>
      <c r="AH240" s="7"/>
      <c r="AI240" s="7"/>
      <c r="AJ240" s="7"/>
      <c r="AK240" s="7"/>
      <c r="AL240" s="9"/>
      <c r="AM240" s="7" t="s">
        <v>221</v>
      </c>
      <c r="AN240" s="7" t="s">
        <v>662</v>
      </c>
      <c r="AO240" s="7"/>
    </row>
    <row r="241" spans="1:41" s="11" customFormat="1" ht="24" x14ac:dyDescent="0.25">
      <c r="A241" s="2">
        <v>240</v>
      </c>
      <c r="B241" s="7" t="s">
        <v>240</v>
      </c>
      <c r="C241" s="7" t="s">
        <v>269</v>
      </c>
      <c r="D241" s="7" t="s">
        <v>288</v>
      </c>
      <c r="E241" s="7">
        <v>82</v>
      </c>
      <c r="F241" s="8">
        <v>1</v>
      </c>
      <c r="G241" s="8">
        <v>2</v>
      </c>
      <c r="H241" s="7">
        <v>2</v>
      </c>
      <c r="I241" s="7">
        <v>2</v>
      </c>
      <c r="J241" s="7" t="s">
        <v>219</v>
      </c>
      <c r="K241" s="7" t="s">
        <v>204</v>
      </c>
      <c r="L241" s="7" t="s">
        <v>52</v>
      </c>
      <c r="M241" s="7">
        <f t="shared" si="15"/>
        <v>1</v>
      </c>
      <c r="N241" s="9" t="s">
        <v>82</v>
      </c>
      <c r="O241" s="7">
        <v>0</v>
      </c>
      <c r="P241" s="9" t="s">
        <v>36</v>
      </c>
      <c r="Q241" s="7" t="s">
        <v>38</v>
      </c>
      <c r="R241" s="7" t="s">
        <v>38</v>
      </c>
      <c r="S241" s="10" t="s">
        <v>1629</v>
      </c>
      <c r="T241" s="7">
        <v>15</v>
      </c>
      <c r="U241" s="7">
        <v>15</v>
      </c>
      <c r="V241" s="7">
        <v>140</v>
      </c>
      <c r="W241" s="7" t="s">
        <v>289</v>
      </c>
      <c r="X241" s="7"/>
      <c r="Y241" s="7"/>
      <c r="Z241" s="7"/>
      <c r="AA241" s="7"/>
      <c r="AB241" s="7">
        <f t="shared" si="19"/>
        <v>5</v>
      </c>
      <c r="AC241" s="7">
        <f t="shared" si="16"/>
        <v>5</v>
      </c>
      <c r="AD241" s="7"/>
      <c r="AE241" s="7"/>
      <c r="AF241" s="7"/>
      <c r="AG241" s="7"/>
      <c r="AH241" s="7"/>
      <c r="AI241" s="7"/>
      <c r="AJ241" s="7"/>
      <c r="AK241" s="7"/>
      <c r="AL241" s="9"/>
      <c r="AM241" s="7" t="s">
        <v>221</v>
      </c>
      <c r="AN241" s="7" t="s">
        <v>662</v>
      </c>
      <c r="AO241" s="10" t="s">
        <v>2530</v>
      </c>
    </row>
    <row r="242" spans="1:41" s="11" customFormat="1" x14ac:dyDescent="0.25">
      <c r="A242" s="2">
        <v>241</v>
      </c>
      <c r="B242" s="7" t="s">
        <v>240</v>
      </c>
      <c r="C242" s="7" t="s">
        <v>100</v>
      </c>
      <c r="D242" s="7">
        <v>24</v>
      </c>
      <c r="E242" s="7">
        <v>24</v>
      </c>
      <c r="F242" s="8">
        <v>1</v>
      </c>
      <c r="G242" s="8">
        <v>1</v>
      </c>
      <c r="H242" s="7">
        <v>1</v>
      </c>
      <c r="I242" s="7">
        <v>1</v>
      </c>
      <c r="J242" s="7" t="s">
        <v>219</v>
      </c>
      <c r="K242" s="7">
        <v>13</v>
      </c>
      <c r="L242" s="7" t="s">
        <v>52</v>
      </c>
      <c r="M242" s="7">
        <f t="shared" si="15"/>
        <v>1</v>
      </c>
      <c r="N242" s="9" t="s">
        <v>82</v>
      </c>
      <c r="O242" s="7">
        <v>0</v>
      </c>
      <c r="P242" s="9" t="s">
        <v>36</v>
      </c>
      <c r="Q242" s="7" t="s">
        <v>38</v>
      </c>
      <c r="R242" s="7" t="s">
        <v>38</v>
      </c>
      <c r="S242" s="7"/>
      <c r="T242" s="7"/>
      <c r="U242" s="7"/>
      <c r="V242" s="7"/>
      <c r="W242" s="7"/>
      <c r="X242" s="7">
        <v>3</v>
      </c>
      <c r="Y242" s="7"/>
      <c r="Z242" s="7"/>
      <c r="AA242" s="7"/>
      <c r="AB242" s="7">
        <f t="shared" si="19"/>
        <v>1</v>
      </c>
      <c r="AC242" s="7">
        <f t="shared" si="16"/>
        <v>1</v>
      </c>
      <c r="AD242" s="7"/>
      <c r="AE242" s="7"/>
      <c r="AF242" s="7"/>
      <c r="AG242" s="7"/>
      <c r="AH242" s="7"/>
      <c r="AI242" s="7"/>
      <c r="AJ242" s="7"/>
      <c r="AK242" s="7"/>
      <c r="AL242" s="9"/>
      <c r="AM242" s="7" t="s">
        <v>71</v>
      </c>
      <c r="AN242" s="7" t="s">
        <v>71</v>
      </c>
      <c r="AO242" s="12"/>
    </row>
    <row r="243" spans="1:41" s="11" customFormat="1" ht="24" x14ac:dyDescent="0.25">
      <c r="A243" s="2">
        <v>242</v>
      </c>
      <c r="B243" s="7" t="s">
        <v>240</v>
      </c>
      <c r="C243" s="7" t="s">
        <v>50</v>
      </c>
      <c r="D243" s="7">
        <v>21</v>
      </c>
      <c r="E243" s="7">
        <v>21</v>
      </c>
      <c r="F243" s="8">
        <v>1</v>
      </c>
      <c r="G243" s="8">
        <v>1</v>
      </c>
      <c r="H243" s="7">
        <v>1</v>
      </c>
      <c r="I243" s="7">
        <v>1</v>
      </c>
      <c r="J243" s="7" t="s">
        <v>290</v>
      </c>
      <c r="K243" s="7" t="s">
        <v>204</v>
      </c>
      <c r="L243" s="7" t="s">
        <v>52</v>
      </c>
      <c r="M243" s="7">
        <f t="shared" si="15"/>
        <v>1</v>
      </c>
      <c r="N243" s="9" t="s">
        <v>291</v>
      </c>
      <c r="O243" s="7">
        <v>0</v>
      </c>
      <c r="P243" s="9" t="s">
        <v>63</v>
      </c>
      <c r="Q243" s="7" t="s">
        <v>38</v>
      </c>
      <c r="R243" s="7" t="s">
        <v>52</v>
      </c>
      <c r="S243" s="10" t="s">
        <v>1588</v>
      </c>
      <c r="T243" s="7"/>
      <c r="U243" s="7"/>
      <c r="V243" s="7"/>
      <c r="W243" s="7"/>
      <c r="X243" s="7"/>
      <c r="Y243" s="7" t="s">
        <v>92</v>
      </c>
      <c r="Z243" s="7">
        <v>3</v>
      </c>
      <c r="AA243" s="7" t="s">
        <v>76</v>
      </c>
      <c r="AB243" s="7">
        <f t="shared" si="19"/>
        <v>1</v>
      </c>
      <c r="AC243" s="7">
        <f t="shared" si="16"/>
        <v>1</v>
      </c>
      <c r="AD243" s="7"/>
      <c r="AE243" s="7"/>
      <c r="AF243" s="7"/>
      <c r="AG243" s="7"/>
      <c r="AH243" s="7"/>
      <c r="AI243" s="7"/>
      <c r="AJ243" s="7"/>
      <c r="AK243" s="7"/>
      <c r="AL243" s="9"/>
      <c r="AM243" s="7" t="s">
        <v>71</v>
      </c>
      <c r="AN243" s="7" t="s">
        <v>71</v>
      </c>
      <c r="AO243" s="10" t="s">
        <v>2531</v>
      </c>
    </row>
    <row r="244" spans="1:41" s="11" customFormat="1" x14ac:dyDescent="0.25">
      <c r="A244" s="2">
        <v>243</v>
      </c>
      <c r="B244" s="7" t="s">
        <v>292</v>
      </c>
      <c r="C244" s="7" t="s">
        <v>104</v>
      </c>
      <c r="D244" s="7">
        <v>13</v>
      </c>
      <c r="E244" s="7">
        <v>13</v>
      </c>
      <c r="F244" s="8">
        <v>1</v>
      </c>
      <c r="G244" s="8">
        <v>1</v>
      </c>
      <c r="H244" s="7">
        <v>1</v>
      </c>
      <c r="I244" s="7">
        <v>1</v>
      </c>
      <c r="J244" s="7" t="s">
        <v>35</v>
      </c>
      <c r="K244" s="7">
        <v>2</v>
      </c>
      <c r="L244" s="7" t="s">
        <v>52</v>
      </c>
      <c r="M244" s="7">
        <f t="shared" si="15"/>
        <v>1</v>
      </c>
      <c r="N244" s="9" t="s">
        <v>34</v>
      </c>
      <c r="O244" s="7">
        <v>0</v>
      </c>
      <c r="P244" s="9" t="s">
        <v>33</v>
      </c>
      <c r="Q244" s="7" t="s">
        <v>38</v>
      </c>
      <c r="R244" s="7" t="s">
        <v>38</v>
      </c>
      <c r="S244" s="7" t="s">
        <v>307</v>
      </c>
      <c r="T244" s="7"/>
      <c r="U244" s="7"/>
      <c r="V244" s="7"/>
      <c r="W244" s="7"/>
      <c r="X244" s="7">
        <v>3</v>
      </c>
      <c r="Y244" s="7"/>
      <c r="Z244" s="7"/>
      <c r="AA244" s="7"/>
      <c r="AB244" s="7">
        <f t="shared" si="19"/>
        <v>1</v>
      </c>
      <c r="AC244" s="7">
        <f t="shared" si="16"/>
        <v>1</v>
      </c>
      <c r="AD244" s="7"/>
      <c r="AE244" s="7">
        <v>1</v>
      </c>
      <c r="AF244" s="7" t="s">
        <v>40</v>
      </c>
      <c r="AG244" s="7" t="s">
        <v>138</v>
      </c>
      <c r="AH244" s="7"/>
      <c r="AI244" s="7"/>
      <c r="AJ244" s="7"/>
      <c r="AK244" s="7"/>
      <c r="AL244" s="9"/>
      <c r="AM244" s="7" t="s">
        <v>42</v>
      </c>
      <c r="AN244" s="7" t="s">
        <v>42</v>
      </c>
      <c r="AO244" s="12"/>
    </row>
    <row r="245" spans="1:41" s="11" customFormat="1" x14ac:dyDescent="0.25">
      <c r="A245" s="2">
        <v>244</v>
      </c>
      <c r="B245" s="7" t="s">
        <v>292</v>
      </c>
      <c r="C245" s="7" t="s">
        <v>100</v>
      </c>
      <c r="D245" s="7">
        <v>11</v>
      </c>
      <c r="E245" s="7">
        <v>11</v>
      </c>
      <c r="F245" s="8">
        <v>1</v>
      </c>
      <c r="G245" s="8">
        <v>1</v>
      </c>
      <c r="H245" s="7">
        <v>1</v>
      </c>
      <c r="I245" s="7">
        <v>1</v>
      </c>
      <c r="J245" s="7" t="s">
        <v>35</v>
      </c>
      <c r="K245" s="7">
        <v>2</v>
      </c>
      <c r="L245" s="7" t="s">
        <v>52</v>
      </c>
      <c r="M245" s="7">
        <f t="shared" si="15"/>
        <v>1</v>
      </c>
      <c r="N245" s="9" t="s">
        <v>36</v>
      </c>
      <c r="O245" s="7">
        <v>0</v>
      </c>
      <c r="P245" s="9" t="s">
        <v>34</v>
      </c>
      <c r="Q245" s="7" t="s">
        <v>38</v>
      </c>
      <c r="R245" s="7" t="s">
        <v>38</v>
      </c>
      <c r="S245" s="10" t="s">
        <v>1630</v>
      </c>
      <c r="T245" s="7"/>
      <c r="U245" s="7"/>
      <c r="V245" s="7"/>
      <c r="W245" s="7"/>
      <c r="X245" s="7">
        <v>3</v>
      </c>
      <c r="Y245" s="7"/>
      <c r="Z245" s="7"/>
      <c r="AA245" s="7"/>
      <c r="AB245" s="7">
        <f t="shared" si="19"/>
        <v>1</v>
      </c>
      <c r="AC245" s="7">
        <f t="shared" si="16"/>
        <v>1</v>
      </c>
      <c r="AD245" s="7"/>
      <c r="AE245" s="7"/>
      <c r="AF245" s="7"/>
      <c r="AG245" s="7"/>
      <c r="AH245" s="7"/>
      <c r="AI245" s="7"/>
      <c r="AJ245" s="7"/>
      <c r="AK245" s="7"/>
      <c r="AL245" s="9"/>
      <c r="AM245" s="7" t="s">
        <v>71</v>
      </c>
      <c r="AN245" s="7" t="s">
        <v>71</v>
      </c>
      <c r="AO245" s="12"/>
    </row>
    <row r="246" spans="1:41" s="11" customFormat="1" x14ac:dyDescent="0.25">
      <c r="A246" s="2">
        <v>245</v>
      </c>
      <c r="B246" s="7" t="s">
        <v>292</v>
      </c>
      <c r="C246" s="7" t="s">
        <v>78</v>
      </c>
      <c r="D246" s="7">
        <v>1</v>
      </c>
      <c r="E246" s="7">
        <v>1</v>
      </c>
      <c r="F246" s="8">
        <v>1</v>
      </c>
      <c r="G246" s="8">
        <v>1</v>
      </c>
      <c r="H246" s="7">
        <v>1</v>
      </c>
      <c r="I246" s="7">
        <v>1</v>
      </c>
      <c r="J246" s="7" t="s">
        <v>35</v>
      </c>
      <c r="K246" s="7">
        <v>2</v>
      </c>
      <c r="L246" s="7" t="s">
        <v>52</v>
      </c>
      <c r="M246" s="7">
        <f t="shared" si="15"/>
        <v>1</v>
      </c>
      <c r="N246" s="9" t="s">
        <v>34</v>
      </c>
      <c r="O246" s="7">
        <v>0</v>
      </c>
      <c r="P246" s="9" t="s">
        <v>33</v>
      </c>
      <c r="Q246" s="7" t="s">
        <v>38</v>
      </c>
      <c r="R246" s="7" t="s">
        <v>38</v>
      </c>
      <c r="S246" s="7"/>
      <c r="T246" s="7">
        <v>5</v>
      </c>
      <c r="U246" s="7">
        <v>5</v>
      </c>
      <c r="V246" s="7">
        <v>100</v>
      </c>
      <c r="W246" s="7" t="s">
        <v>88</v>
      </c>
      <c r="X246" s="7"/>
      <c r="Y246" s="7"/>
      <c r="Z246" s="7"/>
      <c r="AA246" s="7"/>
      <c r="AB246" s="7">
        <f t="shared" si="19"/>
        <v>1.6666666666666667</v>
      </c>
      <c r="AC246" s="7">
        <f t="shared" si="16"/>
        <v>1.6666666666666667</v>
      </c>
      <c r="AD246" s="7"/>
      <c r="AE246" s="7"/>
      <c r="AF246" s="7"/>
      <c r="AG246" s="7"/>
      <c r="AH246" s="7"/>
      <c r="AI246" s="7"/>
      <c r="AJ246" s="7"/>
      <c r="AK246" s="7"/>
      <c r="AL246" s="9"/>
      <c r="AM246" s="7" t="s">
        <v>71</v>
      </c>
      <c r="AN246" s="7" t="s">
        <v>71</v>
      </c>
      <c r="AO246" s="7"/>
    </row>
    <row r="247" spans="1:41" s="11" customFormat="1" x14ac:dyDescent="0.25">
      <c r="A247" s="2">
        <v>246</v>
      </c>
      <c r="B247" s="7" t="s">
        <v>292</v>
      </c>
      <c r="C247" s="7" t="s">
        <v>89</v>
      </c>
      <c r="D247" s="7" t="s">
        <v>293</v>
      </c>
      <c r="E247" s="7">
        <v>3</v>
      </c>
      <c r="F247" s="8">
        <v>1</v>
      </c>
      <c r="G247" s="8">
        <v>2</v>
      </c>
      <c r="H247" s="7">
        <v>2</v>
      </c>
      <c r="I247" s="7">
        <v>2</v>
      </c>
      <c r="J247" s="7" t="s">
        <v>35</v>
      </c>
      <c r="K247" s="7">
        <v>2</v>
      </c>
      <c r="L247" s="7" t="s">
        <v>52</v>
      </c>
      <c r="M247" s="7">
        <f t="shared" si="15"/>
        <v>1</v>
      </c>
      <c r="N247" s="9" t="s">
        <v>34</v>
      </c>
      <c r="O247" s="7">
        <v>0</v>
      </c>
      <c r="P247" s="9" t="s">
        <v>63</v>
      </c>
      <c r="Q247" s="7" t="s">
        <v>38</v>
      </c>
      <c r="R247" s="7" t="s">
        <v>38</v>
      </c>
      <c r="S247" s="7"/>
      <c r="T247" s="7"/>
      <c r="U247" s="7"/>
      <c r="V247" s="7"/>
      <c r="W247" s="7"/>
      <c r="X247" s="7">
        <v>3</v>
      </c>
      <c r="Y247" s="7"/>
      <c r="Z247" s="7"/>
      <c r="AA247" s="7"/>
      <c r="AB247" s="7">
        <f t="shared" si="19"/>
        <v>1</v>
      </c>
      <c r="AC247" s="7">
        <f t="shared" si="16"/>
        <v>1</v>
      </c>
      <c r="AD247" s="7"/>
      <c r="AE247" s="7"/>
      <c r="AF247" s="7"/>
      <c r="AG247" s="7"/>
      <c r="AH247" s="7"/>
      <c r="AI247" s="7"/>
      <c r="AJ247" s="7"/>
      <c r="AK247" s="10" t="s">
        <v>2431</v>
      </c>
      <c r="AL247" s="9"/>
      <c r="AM247" s="7" t="s">
        <v>71</v>
      </c>
      <c r="AN247" s="7" t="s">
        <v>71</v>
      </c>
      <c r="AO247" s="12"/>
    </row>
    <row r="248" spans="1:41" s="11" customFormat="1" ht="24" x14ac:dyDescent="0.25">
      <c r="A248" s="2">
        <v>247</v>
      </c>
      <c r="B248" s="7" t="s">
        <v>292</v>
      </c>
      <c r="C248" s="7" t="s">
        <v>50</v>
      </c>
      <c r="D248" s="7">
        <v>158</v>
      </c>
      <c r="E248" s="7">
        <v>158</v>
      </c>
      <c r="F248" s="8">
        <v>1</v>
      </c>
      <c r="G248" s="8">
        <v>1</v>
      </c>
      <c r="H248" s="7">
        <v>1</v>
      </c>
      <c r="I248" s="7">
        <v>1</v>
      </c>
      <c r="J248" s="7" t="s">
        <v>219</v>
      </c>
      <c r="K248" s="7">
        <v>13</v>
      </c>
      <c r="L248" s="7" t="s">
        <v>52</v>
      </c>
      <c r="M248" s="7">
        <f t="shared" si="15"/>
        <v>1</v>
      </c>
      <c r="N248" s="9" t="s">
        <v>82</v>
      </c>
      <c r="O248" s="7">
        <v>0</v>
      </c>
      <c r="P248" s="9" t="s">
        <v>36</v>
      </c>
      <c r="Q248" s="7" t="s">
        <v>38</v>
      </c>
      <c r="R248" s="7" t="s">
        <v>38</v>
      </c>
      <c r="S248" s="10" t="s">
        <v>1631</v>
      </c>
      <c r="T248" s="7"/>
      <c r="U248" s="7"/>
      <c r="V248" s="7"/>
      <c r="W248" s="7"/>
      <c r="X248" s="7"/>
      <c r="Y248" s="7">
        <v>21</v>
      </c>
      <c r="Z248" s="7">
        <v>21</v>
      </c>
      <c r="AA248" s="7">
        <v>140</v>
      </c>
      <c r="AB248" s="7">
        <f t="shared" si="19"/>
        <v>7</v>
      </c>
      <c r="AC248" s="7">
        <f t="shared" si="16"/>
        <v>7</v>
      </c>
      <c r="AD248" s="7"/>
      <c r="AE248" s="7"/>
      <c r="AF248" s="7"/>
      <c r="AG248" s="7"/>
      <c r="AH248" s="7"/>
      <c r="AI248" s="7"/>
      <c r="AJ248" s="10" t="s">
        <v>294</v>
      </c>
      <c r="AK248" s="7"/>
      <c r="AL248" s="9"/>
      <c r="AM248" s="7" t="s">
        <v>71</v>
      </c>
      <c r="AN248" s="7" t="s">
        <v>71</v>
      </c>
      <c r="AO248" s="7"/>
    </row>
    <row r="249" spans="1:41" s="11" customFormat="1" x14ac:dyDescent="0.25">
      <c r="A249" s="2">
        <v>248</v>
      </c>
      <c r="B249" s="7" t="s">
        <v>292</v>
      </c>
      <c r="C249" s="7" t="s">
        <v>78</v>
      </c>
      <c r="D249" s="7" t="s">
        <v>295</v>
      </c>
      <c r="E249" s="7">
        <v>53</v>
      </c>
      <c r="F249" s="8">
        <v>1</v>
      </c>
      <c r="G249" s="8">
        <v>2</v>
      </c>
      <c r="H249" s="7">
        <v>2</v>
      </c>
      <c r="I249" s="7">
        <v>2</v>
      </c>
      <c r="J249" s="7" t="s">
        <v>219</v>
      </c>
      <c r="K249" s="7">
        <v>1</v>
      </c>
      <c r="L249" s="7" t="s">
        <v>52</v>
      </c>
      <c r="M249" s="7">
        <f t="shared" si="15"/>
        <v>1</v>
      </c>
      <c r="N249" s="9" t="s">
        <v>37</v>
      </c>
      <c r="O249" s="7">
        <v>4</v>
      </c>
      <c r="P249" s="9" t="s">
        <v>33</v>
      </c>
      <c r="Q249" s="7" t="s">
        <v>38</v>
      </c>
      <c r="R249" s="7" t="s">
        <v>38</v>
      </c>
      <c r="S249" s="10" t="s">
        <v>1632</v>
      </c>
      <c r="T249" s="7">
        <v>29</v>
      </c>
      <c r="U249" s="7">
        <v>29</v>
      </c>
      <c r="V249" s="7">
        <v>160</v>
      </c>
      <c r="W249" s="7" t="s">
        <v>64</v>
      </c>
      <c r="X249" s="7"/>
      <c r="Y249" s="7"/>
      <c r="Z249" s="7"/>
      <c r="AA249" s="7"/>
      <c r="AB249" s="7">
        <f t="shared" si="19"/>
        <v>9.6666666666666661</v>
      </c>
      <c r="AC249" s="7">
        <f t="shared" si="16"/>
        <v>9.6666666666666661</v>
      </c>
      <c r="AD249" s="7"/>
      <c r="AE249" s="7"/>
      <c r="AF249" s="7"/>
      <c r="AG249" s="7"/>
      <c r="AH249" s="7"/>
      <c r="AI249" s="7"/>
      <c r="AJ249" s="7"/>
      <c r="AK249" s="7"/>
      <c r="AL249" s="9"/>
      <c r="AM249" s="7" t="s">
        <v>137</v>
      </c>
      <c r="AN249" s="7" t="s">
        <v>2848</v>
      </c>
      <c r="AO249" s="7"/>
    </row>
    <row r="250" spans="1:41" s="11" customFormat="1" x14ac:dyDescent="0.25">
      <c r="A250" s="2">
        <v>249</v>
      </c>
      <c r="B250" s="7" t="s">
        <v>296</v>
      </c>
      <c r="C250" s="7" t="s">
        <v>50</v>
      </c>
      <c r="D250" s="7">
        <v>52</v>
      </c>
      <c r="E250" s="7">
        <v>52</v>
      </c>
      <c r="F250" s="8">
        <v>1</v>
      </c>
      <c r="G250" s="8">
        <v>1</v>
      </c>
      <c r="H250" s="7">
        <v>1</v>
      </c>
      <c r="I250" s="7">
        <v>1</v>
      </c>
      <c r="J250" s="7" t="s">
        <v>35</v>
      </c>
      <c r="K250" s="7">
        <v>2</v>
      </c>
      <c r="L250" s="7" t="s">
        <v>52</v>
      </c>
      <c r="M250" s="7">
        <f t="shared" si="15"/>
        <v>1</v>
      </c>
      <c r="N250" s="9" t="s">
        <v>34</v>
      </c>
      <c r="O250" s="7">
        <v>3</v>
      </c>
      <c r="P250" s="9" t="s">
        <v>63</v>
      </c>
      <c r="Q250" s="7" t="s">
        <v>38</v>
      </c>
      <c r="R250" s="7" t="s">
        <v>38</v>
      </c>
      <c r="S250" s="10" t="s">
        <v>1633</v>
      </c>
      <c r="T250" s="7"/>
      <c r="U250" s="7"/>
      <c r="V250" s="7"/>
      <c r="W250" s="7"/>
      <c r="X250" s="7"/>
      <c r="Y250" s="7">
        <v>100</v>
      </c>
      <c r="Z250" s="7">
        <v>100</v>
      </c>
      <c r="AA250" s="7">
        <v>49</v>
      </c>
      <c r="AB250" s="7">
        <f t="shared" si="19"/>
        <v>33.333333333333336</v>
      </c>
      <c r="AC250" s="7">
        <f t="shared" si="16"/>
        <v>33.333333333333336</v>
      </c>
      <c r="AD250" s="7"/>
      <c r="AE250" s="7"/>
      <c r="AF250" s="7"/>
      <c r="AG250" s="7"/>
      <c r="AH250" s="7"/>
      <c r="AI250" s="7"/>
      <c r="AJ250" s="7"/>
      <c r="AK250" s="7"/>
      <c r="AL250" s="9"/>
      <c r="AM250" s="7" t="s">
        <v>42</v>
      </c>
      <c r="AN250" s="7" t="s">
        <v>42</v>
      </c>
      <c r="AO250" s="7"/>
    </row>
    <row r="251" spans="1:41" s="11" customFormat="1" ht="24" x14ac:dyDescent="0.25">
      <c r="A251" s="2">
        <v>250</v>
      </c>
      <c r="B251" s="7" t="s">
        <v>296</v>
      </c>
      <c r="C251" s="7" t="s">
        <v>50</v>
      </c>
      <c r="D251" s="7" t="s">
        <v>297</v>
      </c>
      <c r="E251" s="7">
        <f>101+8</f>
        <v>109</v>
      </c>
      <c r="F251" s="8">
        <v>1</v>
      </c>
      <c r="G251" s="8">
        <v>2</v>
      </c>
      <c r="H251" s="7">
        <v>2</v>
      </c>
      <c r="I251" s="7">
        <v>2</v>
      </c>
      <c r="J251" s="7" t="s">
        <v>35</v>
      </c>
      <c r="K251" s="7">
        <v>2</v>
      </c>
      <c r="L251" s="7" t="s">
        <v>52</v>
      </c>
      <c r="M251" s="7">
        <f t="shared" si="15"/>
        <v>1</v>
      </c>
      <c r="N251" s="9" t="s">
        <v>34</v>
      </c>
      <c r="O251" s="7">
        <v>1</v>
      </c>
      <c r="P251" s="9" t="s">
        <v>63</v>
      </c>
      <c r="Q251" s="7" t="s">
        <v>38</v>
      </c>
      <c r="R251" s="7" t="s">
        <v>38</v>
      </c>
      <c r="S251" s="10" t="s">
        <v>1634</v>
      </c>
      <c r="T251" s="7"/>
      <c r="U251" s="7"/>
      <c r="V251" s="7"/>
      <c r="W251" s="7"/>
      <c r="X251" s="7">
        <v>3</v>
      </c>
      <c r="Y251" s="7">
        <v>50</v>
      </c>
      <c r="Z251" s="7">
        <v>50</v>
      </c>
      <c r="AA251" s="7">
        <v>85</v>
      </c>
      <c r="AB251" s="7">
        <f t="shared" si="19"/>
        <v>17.666666666666668</v>
      </c>
      <c r="AC251" s="7">
        <f t="shared" si="16"/>
        <v>17.666666666666668</v>
      </c>
      <c r="AD251" s="7"/>
      <c r="AE251" s="7"/>
      <c r="AF251" s="7"/>
      <c r="AG251" s="7"/>
      <c r="AH251" s="7"/>
      <c r="AI251" s="7"/>
      <c r="AJ251" s="7"/>
      <c r="AK251" s="7"/>
      <c r="AL251" s="9"/>
      <c r="AM251" s="7" t="s">
        <v>71</v>
      </c>
      <c r="AN251" s="7" t="s">
        <v>71</v>
      </c>
      <c r="AO251" s="7"/>
    </row>
    <row r="252" spans="1:41" s="11" customFormat="1" ht="24" x14ac:dyDescent="0.25">
      <c r="A252" s="2">
        <v>251</v>
      </c>
      <c r="B252" s="7" t="s">
        <v>296</v>
      </c>
      <c r="C252" s="7" t="s">
        <v>174</v>
      </c>
      <c r="D252" s="7" t="s">
        <v>298</v>
      </c>
      <c r="E252" s="7">
        <v>17</v>
      </c>
      <c r="F252" s="8">
        <v>1</v>
      </c>
      <c r="G252" s="8">
        <v>4</v>
      </c>
      <c r="H252" s="7" t="s">
        <v>143</v>
      </c>
      <c r="I252" s="7">
        <v>4</v>
      </c>
      <c r="J252" s="7" t="s">
        <v>35</v>
      </c>
      <c r="K252" s="7">
        <v>1</v>
      </c>
      <c r="L252" s="7" t="s">
        <v>52</v>
      </c>
      <c r="M252" s="7">
        <f t="shared" si="15"/>
        <v>1</v>
      </c>
      <c r="N252" s="9" t="s">
        <v>36</v>
      </c>
      <c r="O252" s="7">
        <v>0</v>
      </c>
      <c r="P252" s="9" t="s">
        <v>63</v>
      </c>
      <c r="Q252" s="7" t="s">
        <v>38</v>
      </c>
      <c r="R252" s="7" t="s">
        <v>38</v>
      </c>
      <c r="S252" s="10" t="s">
        <v>1635</v>
      </c>
      <c r="T252" s="7">
        <v>14</v>
      </c>
      <c r="U252" s="7">
        <v>14</v>
      </c>
      <c r="V252" s="7">
        <v>90</v>
      </c>
      <c r="W252" s="7" t="s">
        <v>88</v>
      </c>
      <c r="X252" s="7">
        <v>3</v>
      </c>
      <c r="Y252" s="7"/>
      <c r="Z252" s="7"/>
      <c r="AA252" s="7"/>
      <c r="AB252" s="7">
        <f t="shared" si="19"/>
        <v>5.666666666666667</v>
      </c>
      <c r="AC252" s="7">
        <f t="shared" si="16"/>
        <v>5.666666666666667</v>
      </c>
      <c r="AD252" s="7"/>
      <c r="AE252" s="7"/>
      <c r="AF252" s="7"/>
      <c r="AG252" s="7"/>
      <c r="AH252" s="7"/>
      <c r="AI252" s="7"/>
      <c r="AJ252" s="7"/>
      <c r="AK252" s="10" t="s">
        <v>2435</v>
      </c>
      <c r="AL252" s="9"/>
      <c r="AM252" s="7" t="s">
        <v>42</v>
      </c>
      <c r="AN252" s="7" t="s">
        <v>42</v>
      </c>
      <c r="AO252" s="7"/>
    </row>
    <row r="253" spans="1:41" s="11" customFormat="1" x14ac:dyDescent="0.25">
      <c r="A253" s="2">
        <v>252</v>
      </c>
      <c r="B253" s="7" t="s">
        <v>296</v>
      </c>
      <c r="C253" s="7" t="s">
        <v>50</v>
      </c>
      <c r="D253" s="7">
        <v>12</v>
      </c>
      <c r="E253" s="7">
        <v>12</v>
      </c>
      <c r="F253" s="8">
        <v>1</v>
      </c>
      <c r="G253" s="8">
        <v>1</v>
      </c>
      <c r="H253" s="7">
        <v>1</v>
      </c>
      <c r="I253" s="7">
        <v>1</v>
      </c>
      <c r="J253" s="7" t="s">
        <v>35</v>
      </c>
      <c r="K253" s="7">
        <v>1</v>
      </c>
      <c r="L253" s="7" t="s">
        <v>52</v>
      </c>
      <c r="M253" s="7">
        <f t="shared" si="15"/>
        <v>1</v>
      </c>
      <c r="N253" s="9" t="s">
        <v>36</v>
      </c>
      <c r="O253" s="7">
        <v>0</v>
      </c>
      <c r="P253" s="9" t="s">
        <v>63</v>
      </c>
      <c r="Q253" s="7" t="s">
        <v>38</v>
      </c>
      <c r="R253" s="7" t="s">
        <v>38</v>
      </c>
      <c r="S253" s="10" t="s">
        <v>1636</v>
      </c>
      <c r="T253" s="7"/>
      <c r="U253" s="7"/>
      <c r="V253" s="7"/>
      <c r="W253" s="7"/>
      <c r="X253" s="7"/>
      <c r="Y253" s="7">
        <v>7</v>
      </c>
      <c r="Z253" s="7">
        <v>7</v>
      </c>
      <c r="AA253" s="7">
        <v>120</v>
      </c>
      <c r="AB253" s="7">
        <f t="shared" si="19"/>
        <v>2.3333333333333335</v>
      </c>
      <c r="AC253" s="7">
        <f t="shared" si="16"/>
        <v>2.3333333333333335</v>
      </c>
      <c r="AD253" s="7"/>
      <c r="AE253" s="7"/>
      <c r="AF253" s="7"/>
      <c r="AG253" s="7"/>
      <c r="AH253" s="7"/>
      <c r="AI253" s="7"/>
      <c r="AJ253" s="7"/>
      <c r="AK253" s="7"/>
      <c r="AL253" s="9"/>
      <c r="AM253" s="7" t="s">
        <v>71</v>
      </c>
      <c r="AN253" s="7" t="s">
        <v>71</v>
      </c>
      <c r="AO253" s="12"/>
    </row>
    <row r="254" spans="1:41" s="11" customFormat="1" x14ac:dyDescent="0.25">
      <c r="A254" s="2">
        <v>253</v>
      </c>
      <c r="B254" s="7" t="s">
        <v>296</v>
      </c>
      <c r="C254" s="7" t="s">
        <v>50</v>
      </c>
      <c r="D254" s="7">
        <v>11</v>
      </c>
      <c r="E254" s="7">
        <v>11</v>
      </c>
      <c r="F254" s="8">
        <v>1</v>
      </c>
      <c r="G254" s="8">
        <v>1</v>
      </c>
      <c r="H254" s="7">
        <v>1</v>
      </c>
      <c r="I254" s="7">
        <v>1</v>
      </c>
      <c r="J254" s="7" t="s">
        <v>35</v>
      </c>
      <c r="K254" s="7">
        <v>1</v>
      </c>
      <c r="L254" s="7" t="s">
        <v>52</v>
      </c>
      <c r="M254" s="7">
        <f t="shared" si="15"/>
        <v>1</v>
      </c>
      <c r="N254" s="9" t="s">
        <v>36</v>
      </c>
      <c r="O254" s="7">
        <v>0</v>
      </c>
      <c r="P254" s="9" t="s">
        <v>63</v>
      </c>
      <c r="Q254" s="7" t="s">
        <v>38</v>
      </c>
      <c r="R254" s="7" t="s">
        <v>38</v>
      </c>
      <c r="S254" s="10" t="s">
        <v>1492</v>
      </c>
      <c r="T254" s="7"/>
      <c r="U254" s="7"/>
      <c r="V254" s="7"/>
      <c r="W254" s="7"/>
      <c r="X254" s="7"/>
      <c r="Y254" s="7">
        <v>20</v>
      </c>
      <c r="Z254" s="7">
        <v>20</v>
      </c>
      <c r="AA254" s="7">
        <v>60</v>
      </c>
      <c r="AB254" s="7">
        <f t="shared" si="19"/>
        <v>6.666666666666667</v>
      </c>
      <c r="AC254" s="7">
        <f t="shared" si="16"/>
        <v>6.666666666666667</v>
      </c>
      <c r="AD254" s="7"/>
      <c r="AE254" s="7"/>
      <c r="AF254" s="7"/>
      <c r="AG254" s="7"/>
      <c r="AH254" s="7"/>
      <c r="AI254" s="7"/>
      <c r="AJ254" s="7"/>
      <c r="AK254" s="7"/>
      <c r="AL254" s="9"/>
      <c r="AM254" s="7" t="s">
        <v>42</v>
      </c>
      <c r="AN254" s="7" t="s">
        <v>42</v>
      </c>
      <c r="AO254" s="7"/>
    </row>
    <row r="255" spans="1:41" s="11" customFormat="1" x14ac:dyDescent="0.25">
      <c r="A255" s="2">
        <v>254</v>
      </c>
      <c r="B255" s="7" t="s">
        <v>296</v>
      </c>
      <c r="C255" s="7" t="s">
        <v>50</v>
      </c>
      <c r="D255" s="7">
        <v>9</v>
      </c>
      <c r="E255" s="7">
        <v>9</v>
      </c>
      <c r="F255" s="8">
        <v>1</v>
      </c>
      <c r="G255" s="8">
        <v>1</v>
      </c>
      <c r="H255" s="7">
        <v>1</v>
      </c>
      <c r="I255" s="7">
        <v>1</v>
      </c>
      <c r="J255" s="7" t="s">
        <v>35</v>
      </c>
      <c r="K255" s="7">
        <v>2</v>
      </c>
      <c r="L255" s="7" t="s">
        <v>52</v>
      </c>
      <c r="M255" s="7">
        <f t="shared" si="15"/>
        <v>1</v>
      </c>
      <c r="N255" s="9" t="s">
        <v>36</v>
      </c>
      <c r="O255" s="7">
        <v>0</v>
      </c>
      <c r="P255" s="9" t="s">
        <v>37</v>
      </c>
      <c r="Q255" s="7" t="s">
        <v>38</v>
      </c>
      <c r="R255" s="7" t="s">
        <v>52</v>
      </c>
      <c r="S255" s="7"/>
      <c r="T255" s="7"/>
      <c r="U255" s="7"/>
      <c r="V255" s="7"/>
      <c r="W255" s="7"/>
      <c r="X255" s="7"/>
      <c r="Y255" s="7">
        <v>6</v>
      </c>
      <c r="Z255" s="7">
        <v>6</v>
      </c>
      <c r="AA255" s="7">
        <v>90</v>
      </c>
      <c r="AB255" s="7">
        <f t="shared" si="19"/>
        <v>2</v>
      </c>
      <c r="AC255" s="7">
        <f t="shared" si="16"/>
        <v>2</v>
      </c>
      <c r="AD255" s="7"/>
      <c r="AE255" s="7"/>
      <c r="AF255" s="7"/>
      <c r="AG255" s="7"/>
      <c r="AH255" s="7"/>
      <c r="AI255" s="7"/>
      <c r="AJ255" s="7"/>
      <c r="AK255" s="7"/>
      <c r="AL255" s="9"/>
      <c r="AM255" s="7" t="s">
        <v>71</v>
      </c>
      <c r="AN255" s="7" t="s">
        <v>71</v>
      </c>
      <c r="AO255" s="12"/>
    </row>
    <row r="256" spans="1:41" s="11" customFormat="1" x14ac:dyDescent="0.25">
      <c r="A256" s="2">
        <v>255</v>
      </c>
      <c r="B256" s="7" t="s">
        <v>296</v>
      </c>
      <c r="C256" s="7" t="s">
        <v>89</v>
      </c>
      <c r="D256" s="7" t="s">
        <v>299</v>
      </c>
      <c r="E256" s="7">
        <v>47</v>
      </c>
      <c r="F256" s="8">
        <v>1</v>
      </c>
      <c r="G256" s="8">
        <v>3</v>
      </c>
      <c r="H256" s="7" t="s">
        <v>293</v>
      </c>
      <c r="I256" s="7">
        <v>3</v>
      </c>
      <c r="J256" s="7" t="s">
        <v>35</v>
      </c>
      <c r="K256" s="7" t="s">
        <v>300</v>
      </c>
      <c r="L256" s="7" t="s">
        <v>52</v>
      </c>
      <c r="M256" s="7">
        <f t="shared" si="15"/>
        <v>1</v>
      </c>
      <c r="N256" s="9" t="s">
        <v>34</v>
      </c>
      <c r="O256" s="7">
        <v>0</v>
      </c>
      <c r="P256" s="9" t="s">
        <v>33</v>
      </c>
      <c r="Q256" s="7" t="s">
        <v>38</v>
      </c>
      <c r="R256" s="7" t="s">
        <v>38</v>
      </c>
      <c r="S256" s="10" t="s">
        <v>1637</v>
      </c>
      <c r="T256" s="7"/>
      <c r="U256" s="7"/>
      <c r="V256" s="7"/>
      <c r="W256" s="7"/>
      <c r="X256" s="7">
        <v>5</v>
      </c>
      <c r="Y256" s="7"/>
      <c r="Z256" s="7"/>
      <c r="AA256" s="7"/>
      <c r="AB256" s="7">
        <f t="shared" si="19"/>
        <v>1.6666666666666667</v>
      </c>
      <c r="AC256" s="7">
        <f t="shared" si="16"/>
        <v>1.6666666666666667</v>
      </c>
      <c r="AD256" s="7"/>
      <c r="AE256" s="7">
        <v>1</v>
      </c>
      <c r="AF256" s="7" t="s">
        <v>40</v>
      </c>
      <c r="AG256" s="7"/>
      <c r="AH256" s="7"/>
      <c r="AI256" s="7"/>
      <c r="AJ256" s="7"/>
      <c r="AK256" s="7"/>
      <c r="AL256" s="9"/>
      <c r="AM256" s="7" t="s">
        <v>71</v>
      </c>
      <c r="AN256" s="7" t="s">
        <v>71</v>
      </c>
      <c r="AO256" s="12"/>
    </row>
    <row r="257" spans="1:41" s="11" customFormat="1" x14ac:dyDescent="0.25">
      <c r="A257" s="2">
        <v>256</v>
      </c>
      <c r="B257" s="7" t="s">
        <v>296</v>
      </c>
      <c r="C257" s="7" t="s">
        <v>100</v>
      </c>
      <c r="D257" s="7">
        <v>8</v>
      </c>
      <c r="E257" s="7">
        <v>8</v>
      </c>
      <c r="F257" s="8">
        <v>1</v>
      </c>
      <c r="G257" s="8">
        <v>1</v>
      </c>
      <c r="H257" s="7">
        <v>1</v>
      </c>
      <c r="I257" s="7">
        <v>1</v>
      </c>
      <c r="J257" s="7" t="s">
        <v>35</v>
      </c>
      <c r="K257" s="7">
        <v>2</v>
      </c>
      <c r="L257" s="7" t="s">
        <v>52</v>
      </c>
      <c r="M257" s="7">
        <f t="shared" si="15"/>
        <v>1</v>
      </c>
      <c r="N257" s="9" t="s">
        <v>34</v>
      </c>
      <c r="O257" s="7">
        <v>0</v>
      </c>
      <c r="P257" s="9" t="s">
        <v>63</v>
      </c>
      <c r="Q257" s="7" t="s">
        <v>38</v>
      </c>
      <c r="R257" s="7" t="s">
        <v>38</v>
      </c>
      <c r="S257" s="10" t="s">
        <v>1589</v>
      </c>
      <c r="T257" s="7"/>
      <c r="U257" s="7"/>
      <c r="V257" s="7"/>
      <c r="W257" s="7"/>
      <c r="X257" s="7">
        <v>3</v>
      </c>
      <c r="Y257" s="7"/>
      <c r="Z257" s="7"/>
      <c r="AA257" s="7"/>
      <c r="AB257" s="7">
        <f t="shared" si="19"/>
        <v>1</v>
      </c>
      <c r="AC257" s="7">
        <f t="shared" si="16"/>
        <v>1</v>
      </c>
      <c r="AD257" s="7"/>
      <c r="AE257" s="7">
        <v>1</v>
      </c>
      <c r="AF257" s="7" t="s">
        <v>40</v>
      </c>
      <c r="AG257" s="7"/>
      <c r="AH257" s="7" t="s">
        <v>38</v>
      </c>
      <c r="AI257" s="7"/>
      <c r="AJ257" s="7"/>
      <c r="AK257" s="7"/>
      <c r="AL257" s="9"/>
      <c r="AM257" s="7" t="s">
        <v>71</v>
      </c>
      <c r="AN257" s="7" t="s">
        <v>71</v>
      </c>
      <c r="AO257" s="7"/>
    </row>
    <row r="258" spans="1:41" s="11" customFormat="1" ht="24" x14ac:dyDescent="0.25">
      <c r="A258" s="2">
        <v>257</v>
      </c>
      <c r="B258" s="7" t="s">
        <v>296</v>
      </c>
      <c r="C258" s="7" t="s">
        <v>78</v>
      </c>
      <c r="D258" s="7" t="s">
        <v>159</v>
      </c>
      <c r="E258" s="7">
        <v>6</v>
      </c>
      <c r="F258" s="8">
        <v>1</v>
      </c>
      <c r="G258" s="8">
        <v>2</v>
      </c>
      <c r="H258" s="7" t="s">
        <v>87</v>
      </c>
      <c r="I258" s="7">
        <v>2</v>
      </c>
      <c r="J258" s="7" t="s">
        <v>35</v>
      </c>
      <c r="K258" s="7">
        <v>2</v>
      </c>
      <c r="L258" s="7" t="s">
        <v>52</v>
      </c>
      <c r="M258" s="7">
        <f t="shared" ref="M258:M321" si="20">IF(L258="n",F258,0)</f>
        <v>1</v>
      </c>
      <c r="N258" s="9" t="s">
        <v>34</v>
      </c>
      <c r="O258" s="7">
        <v>3</v>
      </c>
      <c r="P258" s="9" t="s">
        <v>63</v>
      </c>
      <c r="Q258" s="7" t="s">
        <v>38</v>
      </c>
      <c r="R258" s="7" t="s">
        <v>38</v>
      </c>
      <c r="S258" s="10" t="s">
        <v>1537</v>
      </c>
      <c r="T258" s="7" t="s">
        <v>302</v>
      </c>
      <c r="U258" s="7">
        <v>16</v>
      </c>
      <c r="V258" s="7">
        <v>90</v>
      </c>
      <c r="W258" s="7" t="s">
        <v>83</v>
      </c>
      <c r="X258" s="7"/>
      <c r="Y258" s="7"/>
      <c r="Z258" s="7"/>
      <c r="AA258" s="7"/>
      <c r="AB258" s="7">
        <f t="shared" si="19"/>
        <v>5.333333333333333</v>
      </c>
      <c r="AC258" s="7">
        <f t="shared" ref="AC258:AC321" si="21">IF(L258="n",AB258,0)</f>
        <v>5.333333333333333</v>
      </c>
      <c r="AD258" s="7"/>
      <c r="AE258" s="7"/>
      <c r="AF258" s="7"/>
      <c r="AG258" s="7"/>
      <c r="AH258" s="7"/>
      <c r="AI258" s="7"/>
      <c r="AJ258" s="7"/>
      <c r="AK258" s="7"/>
      <c r="AL258" s="9"/>
      <c r="AM258" s="7" t="s">
        <v>71</v>
      </c>
      <c r="AN258" s="7" t="s">
        <v>71</v>
      </c>
      <c r="AO258" s="7"/>
    </row>
    <row r="259" spans="1:41" s="11" customFormat="1" ht="24" x14ac:dyDescent="0.25">
      <c r="A259" s="2">
        <v>258</v>
      </c>
      <c r="B259" s="7" t="s">
        <v>296</v>
      </c>
      <c r="C259" s="7" t="s">
        <v>78</v>
      </c>
      <c r="D259" s="7" t="s">
        <v>86</v>
      </c>
      <c r="E259" s="7">
        <v>4</v>
      </c>
      <c r="F259" s="8">
        <v>1</v>
      </c>
      <c r="G259" s="8">
        <v>2</v>
      </c>
      <c r="H259" s="7">
        <v>2</v>
      </c>
      <c r="I259" s="7">
        <v>2</v>
      </c>
      <c r="J259" s="7" t="s">
        <v>35</v>
      </c>
      <c r="K259" s="7">
        <v>2</v>
      </c>
      <c r="L259" s="7" t="s">
        <v>52</v>
      </c>
      <c r="M259" s="7">
        <f t="shared" si="20"/>
        <v>1</v>
      </c>
      <c r="N259" s="9" t="s">
        <v>34</v>
      </c>
      <c r="O259" s="7">
        <v>1</v>
      </c>
      <c r="P259" s="9" t="s">
        <v>34</v>
      </c>
      <c r="Q259" s="7" t="s">
        <v>38</v>
      </c>
      <c r="R259" s="7" t="s">
        <v>38</v>
      </c>
      <c r="S259" s="7"/>
      <c r="T259" s="7">
        <v>12</v>
      </c>
      <c r="U259" s="7">
        <v>12</v>
      </c>
      <c r="V259" s="7">
        <v>110</v>
      </c>
      <c r="W259" s="7" t="s">
        <v>83</v>
      </c>
      <c r="X259" s="7"/>
      <c r="Y259" s="7"/>
      <c r="Z259" s="7"/>
      <c r="AA259" s="7"/>
      <c r="AB259" s="7">
        <f t="shared" si="19"/>
        <v>4</v>
      </c>
      <c r="AC259" s="7">
        <f t="shared" si="21"/>
        <v>4</v>
      </c>
      <c r="AD259" s="7"/>
      <c r="AE259" s="7"/>
      <c r="AF259" s="7"/>
      <c r="AG259" s="7"/>
      <c r="AH259" s="7"/>
      <c r="AI259" s="7"/>
      <c r="AJ259" s="7"/>
      <c r="AK259" s="7"/>
      <c r="AL259" s="9"/>
      <c r="AM259" s="7" t="s">
        <v>71</v>
      </c>
      <c r="AN259" s="7" t="s">
        <v>71</v>
      </c>
      <c r="AO259" s="7"/>
    </row>
    <row r="260" spans="1:41" s="11" customFormat="1" ht="24" x14ac:dyDescent="0.25">
      <c r="A260" s="2">
        <v>259</v>
      </c>
      <c r="B260" s="7" t="s">
        <v>296</v>
      </c>
      <c r="C260" s="7" t="s">
        <v>303</v>
      </c>
      <c r="D260" s="7" t="s">
        <v>196</v>
      </c>
      <c r="E260" s="7">
        <v>2</v>
      </c>
      <c r="F260" s="8">
        <v>2</v>
      </c>
      <c r="G260" s="8">
        <v>2</v>
      </c>
      <c r="H260" s="7" t="s">
        <v>87</v>
      </c>
      <c r="I260" s="7">
        <v>2</v>
      </c>
      <c r="J260" s="7" t="s">
        <v>35</v>
      </c>
      <c r="K260" s="7">
        <v>1</v>
      </c>
      <c r="L260" s="7" t="s">
        <v>52</v>
      </c>
      <c r="M260" s="7">
        <f t="shared" si="20"/>
        <v>2</v>
      </c>
      <c r="N260" s="9" t="s">
        <v>34</v>
      </c>
      <c r="O260" s="7">
        <v>1</v>
      </c>
      <c r="P260" s="9" t="s">
        <v>33</v>
      </c>
      <c r="Q260" s="7" t="s">
        <v>38</v>
      </c>
      <c r="R260" s="7" t="s">
        <v>38</v>
      </c>
      <c r="S260" s="7"/>
      <c r="T260" s="7" t="s">
        <v>92</v>
      </c>
      <c r="U260" s="7">
        <v>3</v>
      </c>
      <c r="V260" s="7" t="s">
        <v>199</v>
      </c>
      <c r="W260" s="7" t="s">
        <v>83</v>
      </c>
      <c r="X260" s="7"/>
      <c r="Y260" s="7"/>
      <c r="Z260" s="7"/>
      <c r="AA260" s="7"/>
      <c r="AB260" s="7">
        <f t="shared" si="19"/>
        <v>1</v>
      </c>
      <c r="AC260" s="7">
        <f t="shared" si="21"/>
        <v>1</v>
      </c>
      <c r="AD260" s="7"/>
      <c r="AE260" s="7"/>
      <c r="AF260" s="7"/>
      <c r="AG260" s="7"/>
      <c r="AH260" s="7"/>
      <c r="AI260" s="7"/>
      <c r="AJ260" s="7"/>
      <c r="AK260" s="7"/>
      <c r="AL260" s="9"/>
      <c r="AM260" s="7" t="s">
        <v>71</v>
      </c>
      <c r="AN260" s="7" t="s">
        <v>71</v>
      </c>
      <c r="AO260" s="7"/>
    </row>
    <row r="261" spans="1:41" s="11" customFormat="1" x14ac:dyDescent="0.25">
      <c r="A261" s="2">
        <v>260</v>
      </c>
      <c r="B261" s="7" t="s">
        <v>296</v>
      </c>
      <c r="C261" s="7" t="s">
        <v>78</v>
      </c>
      <c r="D261" s="7">
        <v>2</v>
      </c>
      <c r="E261" s="7">
        <v>2</v>
      </c>
      <c r="F261" s="8">
        <v>1</v>
      </c>
      <c r="G261" s="8">
        <v>1</v>
      </c>
      <c r="H261" s="7">
        <v>1</v>
      </c>
      <c r="I261" s="7">
        <v>1</v>
      </c>
      <c r="J261" s="7" t="s">
        <v>35</v>
      </c>
      <c r="K261" s="7">
        <v>1</v>
      </c>
      <c r="L261" s="7" t="s">
        <v>52</v>
      </c>
      <c r="M261" s="7">
        <f t="shared" si="20"/>
        <v>1</v>
      </c>
      <c r="N261" s="9" t="s">
        <v>36</v>
      </c>
      <c r="O261" s="7">
        <v>0</v>
      </c>
      <c r="P261" s="9" t="s">
        <v>63</v>
      </c>
      <c r="Q261" s="7" t="s">
        <v>38</v>
      </c>
      <c r="R261" s="7" t="s">
        <v>38</v>
      </c>
      <c r="S261" s="10" t="s">
        <v>1638</v>
      </c>
      <c r="T261" s="7" t="s">
        <v>92</v>
      </c>
      <c r="U261" s="7">
        <v>3</v>
      </c>
      <c r="V261" s="7" t="s">
        <v>199</v>
      </c>
      <c r="W261" s="7" t="s">
        <v>88</v>
      </c>
      <c r="X261" s="7"/>
      <c r="Y261" s="7"/>
      <c r="Z261" s="7"/>
      <c r="AA261" s="7"/>
      <c r="AB261" s="7">
        <f t="shared" si="19"/>
        <v>1</v>
      </c>
      <c r="AC261" s="7">
        <f t="shared" si="21"/>
        <v>1</v>
      </c>
      <c r="AD261" s="7"/>
      <c r="AE261" s="7"/>
      <c r="AF261" s="7"/>
      <c r="AG261" s="7"/>
      <c r="AH261" s="7"/>
      <c r="AI261" s="7"/>
      <c r="AJ261" s="7"/>
      <c r="AK261" s="7" t="s">
        <v>304</v>
      </c>
      <c r="AL261" s="9"/>
      <c r="AM261" s="7" t="s">
        <v>71</v>
      </c>
      <c r="AN261" s="7" t="s">
        <v>71</v>
      </c>
      <c r="AO261" s="7"/>
    </row>
    <row r="262" spans="1:41" s="11" customFormat="1" ht="24" x14ac:dyDescent="0.25">
      <c r="A262" s="2">
        <v>261</v>
      </c>
      <c r="B262" s="7" t="s">
        <v>296</v>
      </c>
      <c r="C262" s="7" t="s">
        <v>305</v>
      </c>
      <c r="D262" s="7" t="s">
        <v>306</v>
      </c>
      <c r="E262" s="7">
        <v>20</v>
      </c>
      <c r="F262" s="8">
        <v>1</v>
      </c>
      <c r="G262" s="8">
        <v>2</v>
      </c>
      <c r="H262" s="7">
        <v>2</v>
      </c>
      <c r="I262" s="7">
        <v>2</v>
      </c>
      <c r="J262" s="7" t="s">
        <v>35</v>
      </c>
      <c r="K262" s="7">
        <v>1</v>
      </c>
      <c r="L262" s="7" t="s">
        <v>52</v>
      </c>
      <c r="M262" s="7">
        <f t="shared" si="20"/>
        <v>1</v>
      </c>
      <c r="N262" s="9" t="s">
        <v>34</v>
      </c>
      <c r="O262" s="7">
        <v>0</v>
      </c>
      <c r="P262" s="9" t="s">
        <v>63</v>
      </c>
      <c r="Q262" s="7" t="s">
        <v>38</v>
      </c>
      <c r="R262" s="7" t="s">
        <v>38</v>
      </c>
      <c r="S262" s="7" t="s">
        <v>307</v>
      </c>
      <c r="T262" s="7"/>
      <c r="U262" s="7"/>
      <c r="V262" s="7"/>
      <c r="W262" s="7"/>
      <c r="X262" s="7">
        <v>3</v>
      </c>
      <c r="Y262" s="7"/>
      <c r="Z262" s="7"/>
      <c r="AA262" s="7"/>
      <c r="AB262" s="7">
        <f t="shared" si="19"/>
        <v>1</v>
      </c>
      <c r="AC262" s="7">
        <f t="shared" si="21"/>
        <v>1</v>
      </c>
      <c r="AD262" s="7"/>
      <c r="AE262" s="7"/>
      <c r="AF262" s="7" t="s">
        <v>40</v>
      </c>
      <c r="AG262" s="7" t="s">
        <v>138</v>
      </c>
      <c r="AH262" s="7"/>
      <c r="AI262" s="7"/>
      <c r="AJ262" s="7"/>
      <c r="AK262" s="7"/>
      <c r="AL262" s="9"/>
      <c r="AM262" s="7" t="s">
        <v>42</v>
      </c>
      <c r="AN262" s="7" t="s">
        <v>42</v>
      </c>
      <c r="AO262" s="12"/>
    </row>
    <row r="263" spans="1:41" s="11" customFormat="1" x14ac:dyDescent="0.25">
      <c r="A263" s="2">
        <v>262</v>
      </c>
      <c r="B263" s="7" t="s">
        <v>296</v>
      </c>
      <c r="C263" s="7" t="s">
        <v>308</v>
      </c>
      <c r="D263" s="7">
        <v>4</v>
      </c>
      <c r="E263" s="7">
        <v>4</v>
      </c>
      <c r="F263" s="8">
        <v>1</v>
      </c>
      <c r="G263" s="8">
        <v>1</v>
      </c>
      <c r="H263" s="7">
        <v>1</v>
      </c>
      <c r="I263" s="7">
        <v>1</v>
      </c>
      <c r="J263" s="7" t="s">
        <v>35</v>
      </c>
      <c r="K263" s="7">
        <v>2</v>
      </c>
      <c r="L263" s="7" t="s">
        <v>52</v>
      </c>
      <c r="M263" s="7">
        <f t="shared" si="20"/>
        <v>1</v>
      </c>
      <c r="N263" s="9" t="s">
        <v>36</v>
      </c>
      <c r="O263" s="7">
        <v>0</v>
      </c>
      <c r="P263" s="9" t="s">
        <v>33</v>
      </c>
      <c r="Q263" s="7"/>
      <c r="R263" s="7" t="s">
        <v>38</v>
      </c>
      <c r="S263" s="7"/>
      <c r="T263" s="7"/>
      <c r="U263" s="7"/>
      <c r="V263" s="7"/>
      <c r="W263" s="7"/>
      <c r="X263" s="7">
        <v>3</v>
      </c>
      <c r="Y263" s="7"/>
      <c r="Z263" s="7"/>
      <c r="AA263" s="7"/>
      <c r="AB263" s="7">
        <f t="shared" si="19"/>
        <v>1</v>
      </c>
      <c r="AC263" s="7">
        <f t="shared" si="21"/>
        <v>1</v>
      </c>
      <c r="AD263" s="7"/>
      <c r="AE263" s="7">
        <v>1</v>
      </c>
      <c r="AF263" s="7" t="s">
        <v>308</v>
      </c>
      <c r="AG263" s="7"/>
      <c r="AH263" s="7"/>
      <c r="AI263" s="7"/>
      <c r="AJ263" s="7"/>
      <c r="AK263" s="7"/>
      <c r="AL263" s="9"/>
      <c r="AM263" s="7" t="s">
        <v>67</v>
      </c>
      <c r="AN263" s="7" t="s">
        <v>2847</v>
      </c>
      <c r="AO263" s="7"/>
    </row>
    <row r="264" spans="1:41" s="11" customFormat="1" ht="24" x14ac:dyDescent="0.25">
      <c r="A264" s="2">
        <v>263</v>
      </c>
      <c r="B264" s="7" t="s">
        <v>296</v>
      </c>
      <c r="C264" s="7" t="s">
        <v>309</v>
      </c>
      <c r="D264" s="7" t="s">
        <v>310</v>
      </c>
      <c r="E264" s="7">
        <f>46+22+12</f>
        <v>80</v>
      </c>
      <c r="F264" s="8">
        <v>1</v>
      </c>
      <c r="G264" s="8">
        <v>6</v>
      </c>
      <c r="H264" s="7" t="s">
        <v>311</v>
      </c>
      <c r="I264" s="7">
        <v>6</v>
      </c>
      <c r="J264" s="7" t="s">
        <v>35</v>
      </c>
      <c r="K264" s="7">
        <v>2</v>
      </c>
      <c r="L264" s="7" t="s">
        <v>52</v>
      </c>
      <c r="M264" s="7">
        <f t="shared" si="20"/>
        <v>1</v>
      </c>
      <c r="N264" s="9" t="s">
        <v>34</v>
      </c>
      <c r="O264" s="7">
        <v>1</v>
      </c>
      <c r="P264" s="9" t="s">
        <v>33</v>
      </c>
      <c r="Q264" s="7" t="s">
        <v>52</v>
      </c>
      <c r="R264" s="7" t="s">
        <v>38</v>
      </c>
      <c r="S264" s="10" t="s">
        <v>1639</v>
      </c>
      <c r="T264" s="7"/>
      <c r="U264" s="7"/>
      <c r="V264" s="7"/>
      <c r="W264" s="7"/>
      <c r="X264" s="7">
        <v>10</v>
      </c>
      <c r="Y264" s="7"/>
      <c r="Z264" s="7"/>
      <c r="AA264" s="7"/>
      <c r="AB264" s="7">
        <f t="shared" si="19"/>
        <v>3.3333333333333335</v>
      </c>
      <c r="AC264" s="7">
        <f t="shared" si="21"/>
        <v>3.3333333333333335</v>
      </c>
      <c r="AD264" s="7"/>
      <c r="AE264" s="7">
        <v>1</v>
      </c>
      <c r="AF264" s="7" t="s">
        <v>40</v>
      </c>
      <c r="AG264" s="7"/>
      <c r="AH264" s="7"/>
      <c r="AI264" s="7"/>
      <c r="AJ264" s="7"/>
      <c r="AK264" s="7"/>
      <c r="AL264" s="9"/>
      <c r="AM264" s="7" t="s">
        <v>312</v>
      </c>
      <c r="AN264" s="7" t="s">
        <v>2847</v>
      </c>
      <c r="AO264" s="7"/>
    </row>
    <row r="265" spans="1:41" s="11" customFormat="1" x14ac:dyDescent="0.25">
      <c r="A265" s="2">
        <v>264</v>
      </c>
      <c r="B265" s="7" t="s">
        <v>296</v>
      </c>
      <c r="C265" s="7" t="s">
        <v>100</v>
      </c>
      <c r="D265" s="7">
        <v>14</v>
      </c>
      <c r="E265" s="7">
        <v>14</v>
      </c>
      <c r="F265" s="8">
        <v>1</v>
      </c>
      <c r="G265" s="8">
        <v>1</v>
      </c>
      <c r="H265" s="7">
        <v>1</v>
      </c>
      <c r="I265" s="7">
        <v>1</v>
      </c>
      <c r="J265" s="7" t="s">
        <v>35</v>
      </c>
      <c r="K265" s="7">
        <v>2</v>
      </c>
      <c r="L265" s="7" t="s">
        <v>52</v>
      </c>
      <c r="M265" s="7">
        <f t="shared" si="20"/>
        <v>1</v>
      </c>
      <c r="N265" s="9" t="s">
        <v>34</v>
      </c>
      <c r="O265" s="7">
        <v>0</v>
      </c>
      <c r="P265" s="9" t="s">
        <v>34</v>
      </c>
      <c r="Q265" s="7" t="s">
        <v>52</v>
      </c>
      <c r="R265" s="7" t="s">
        <v>38</v>
      </c>
      <c r="S265" s="10" t="s">
        <v>1640</v>
      </c>
      <c r="T265" s="7"/>
      <c r="U265" s="7"/>
      <c r="V265" s="7"/>
      <c r="W265" s="7"/>
      <c r="X265" s="7">
        <v>3</v>
      </c>
      <c r="Y265" s="7"/>
      <c r="Z265" s="7"/>
      <c r="AA265" s="7"/>
      <c r="AB265" s="7">
        <f t="shared" si="19"/>
        <v>1</v>
      </c>
      <c r="AC265" s="7">
        <f t="shared" si="21"/>
        <v>1</v>
      </c>
      <c r="AD265" s="7"/>
      <c r="AE265" s="7">
        <v>1</v>
      </c>
      <c r="AF265" s="7"/>
      <c r="AG265" s="7"/>
      <c r="AH265" s="7"/>
      <c r="AI265" s="7"/>
      <c r="AJ265" s="7"/>
      <c r="AK265" s="7"/>
      <c r="AL265" s="9"/>
      <c r="AM265" s="7" t="s">
        <v>71</v>
      </c>
      <c r="AN265" s="7" t="s">
        <v>71</v>
      </c>
      <c r="AO265" s="7"/>
    </row>
    <row r="266" spans="1:41" s="11" customFormat="1" x14ac:dyDescent="0.25">
      <c r="A266" s="2">
        <v>265</v>
      </c>
      <c r="B266" s="7" t="s">
        <v>296</v>
      </c>
      <c r="C266" s="7" t="s">
        <v>100</v>
      </c>
      <c r="D266" s="7">
        <v>8</v>
      </c>
      <c r="E266" s="7">
        <v>8</v>
      </c>
      <c r="F266" s="8">
        <v>1</v>
      </c>
      <c r="G266" s="8">
        <v>1</v>
      </c>
      <c r="H266" s="7">
        <v>1</v>
      </c>
      <c r="I266" s="7">
        <v>1</v>
      </c>
      <c r="J266" s="7" t="s">
        <v>35</v>
      </c>
      <c r="K266" s="7">
        <v>2</v>
      </c>
      <c r="L266" s="7" t="s">
        <v>52</v>
      </c>
      <c r="M266" s="7">
        <f t="shared" si="20"/>
        <v>1</v>
      </c>
      <c r="N266" s="9" t="s">
        <v>36</v>
      </c>
      <c r="O266" s="7">
        <v>0</v>
      </c>
      <c r="P266" s="9" t="s">
        <v>37</v>
      </c>
      <c r="Q266" s="7" t="s">
        <v>52</v>
      </c>
      <c r="R266" s="7" t="s">
        <v>38</v>
      </c>
      <c r="S266" s="10" t="s">
        <v>1546</v>
      </c>
      <c r="T266" s="7"/>
      <c r="U266" s="7"/>
      <c r="V266" s="7"/>
      <c r="W266" s="7"/>
      <c r="X266" s="7">
        <v>3</v>
      </c>
      <c r="Y266" s="7"/>
      <c r="Z266" s="7"/>
      <c r="AA266" s="7"/>
      <c r="AB266" s="7">
        <f t="shared" si="19"/>
        <v>1</v>
      </c>
      <c r="AC266" s="7">
        <f t="shared" si="21"/>
        <v>1</v>
      </c>
      <c r="AD266" s="7"/>
      <c r="AE266" s="7">
        <v>1</v>
      </c>
      <c r="AF266" s="7"/>
      <c r="AG266" s="7" t="s">
        <v>313</v>
      </c>
      <c r="AH266" s="7"/>
      <c r="AI266" s="7"/>
      <c r="AJ266" s="7"/>
      <c r="AK266" s="7"/>
      <c r="AL266" s="9"/>
      <c r="AM266" s="7" t="s">
        <v>71</v>
      </c>
      <c r="AN266" s="7" t="s">
        <v>71</v>
      </c>
      <c r="AO266" s="7"/>
    </row>
    <row r="267" spans="1:41" s="11" customFormat="1" x14ac:dyDescent="0.25">
      <c r="A267" s="2">
        <v>266</v>
      </c>
      <c r="B267" s="7" t="s">
        <v>296</v>
      </c>
      <c r="C267" s="7" t="s">
        <v>100</v>
      </c>
      <c r="D267" s="7">
        <v>18</v>
      </c>
      <c r="E267" s="7">
        <v>18</v>
      </c>
      <c r="F267" s="8">
        <v>1</v>
      </c>
      <c r="G267" s="8">
        <v>1</v>
      </c>
      <c r="H267" s="7">
        <v>1</v>
      </c>
      <c r="I267" s="7">
        <v>1</v>
      </c>
      <c r="J267" s="7" t="s">
        <v>35</v>
      </c>
      <c r="K267" s="7">
        <v>2</v>
      </c>
      <c r="L267" s="7" t="s">
        <v>52</v>
      </c>
      <c r="M267" s="7">
        <f t="shared" si="20"/>
        <v>1</v>
      </c>
      <c r="N267" s="9" t="s">
        <v>34</v>
      </c>
      <c r="O267" s="7">
        <v>1</v>
      </c>
      <c r="P267" s="9" t="s">
        <v>37</v>
      </c>
      <c r="Q267" s="7" t="s">
        <v>52</v>
      </c>
      <c r="R267" s="7" t="s">
        <v>38</v>
      </c>
      <c r="S267" s="7"/>
      <c r="T267" s="7"/>
      <c r="U267" s="7"/>
      <c r="V267" s="7"/>
      <c r="W267" s="7"/>
      <c r="X267" s="7">
        <v>3</v>
      </c>
      <c r="Y267" s="7"/>
      <c r="Z267" s="7"/>
      <c r="AA267" s="7"/>
      <c r="AB267" s="7">
        <f t="shared" si="19"/>
        <v>1</v>
      </c>
      <c r="AC267" s="7">
        <f t="shared" si="21"/>
        <v>1</v>
      </c>
      <c r="AD267" s="7"/>
      <c r="AE267" s="7"/>
      <c r="AF267" s="7"/>
      <c r="AG267" s="7"/>
      <c r="AH267" s="7"/>
      <c r="AI267" s="7"/>
      <c r="AJ267" s="7"/>
      <c r="AK267" s="7"/>
      <c r="AL267" s="9"/>
      <c r="AM267" s="7" t="s">
        <v>71</v>
      </c>
      <c r="AN267" s="7" t="s">
        <v>71</v>
      </c>
      <c r="AO267" s="7"/>
    </row>
    <row r="268" spans="1:41" s="11" customFormat="1" x14ac:dyDescent="0.25">
      <c r="A268" s="2">
        <v>267</v>
      </c>
      <c r="B268" s="7" t="s">
        <v>296</v>
      </c>
      <c r="C268" s="7" t="s">
        <v>89</v>
      </c>
      <c r="D268" s="7" t="s">
        <v>314</v>
      </c>
      <c r="E268" s="7">
        <f>76+8</f>
        <v>84</v>
      </c>
      <c r="F268" s="8">
        <v>1</v>
      </c>
      <c r="G268" s="8">
        <v>3</v>
      </c>
      <c r="H268" s="7" t="s">
        <v>293</v>
      </c>
      <c r="I268" s="7">
        <v>3</v>
      </c>
      <c r="J268" s="7" t="s">
        <v>70</v>
      </c>
      <c r="K268" s="7">
        <v>1</v>
      </c>
      <c r="L268" s="7" t="s">
        <v>52</v>
      </c>
      <c r="M268" s="7">
        <f t="shared" si="20"/>
        <v>1</v>
      </c>
      <c r="N268" s="9" t="s">
        <v>34</v>
      </c>
      <c r="O268" s="7">
        <v>2</v>
      </c>
      <c r="P268" s="9" t="s">
        <v>34</v>
      </c>
      <c r="Q268" s="7" t="s">
        <v>38</v>
      </c>
      <c r="R268" s="7" t="s">
        <v>38</v>
      </c>
      <c r="S268" s="7"/>
      <c r="T268" s="7"/>
      <c r="U268" s="7"/>
      <c r="V268" s="7"/>
      <c r="W268" s="7"/>
      <c r="X268" s="7">
        <v>5</v>
      </c>
      <c r="Y268" s="7"/>
      <c r="Z268" s="7"/>
      <c r="AA268" s="7"/>
      <c r="AB268" s="7">
        <f t="shared" si="19"/>
        <v>1.6666666666666667</v>
      </c>
      <c r="AC268" s="7">
        <f t="shared" si="21"/>
        <v>1.6666666666666667</v>
      </c>
      <c r="AD268" s="7"/>
      <c r="AE268" s="7"/>
      <c r="AF268" s="7"/>
      <c r="AG268" s="7"/>
      <c r="AH268" s="7"/>
      <c r="AI268" s="7"/>
      <c r="AJ268" s="7"/>
      <c r="AK268" s="7"/>
      <c r="AL268" s="9"/>
      <c r="AM268" s="7" t="s">
        <v>71</v>
      </c>
      <c r="AN268" s="7" t="s">
        <v>71</v>
      </c>
      <c r="AO268" s="12"/>
    </row>
    <row r="269" spans="1:41" s="11" customFormat="1" ht="24" x14ac:dyDescent="0.25">
      <c r="A269" s="2">
        <v>268</v>
      </c>
      <c r="B269" s="7" t="s">
        <v>296</v>
      </c>
      <c r="C269" s="7" t="s">
        <v>100</v>
      </c>
      <c r="D269" s="7">
        <v>12</v>
      </c>
      <c r="E269" s="7">
        <v>12</v>
      </c>
      <c r="F269" s="8">
        <v>1</v>
      </c>
      <c r="G269" s="8">
        <v>1</v>
      </c>
      <c r="H269" s="7">
        <v>1</v>
      </c>
      <c r="I269" s="7">
        <v>1</v>
      </c>
      <c r="J269" s="7" t="s">
        <v>77</v>
      </c>
      <c r="K269" s="7">
        <v>1</v>
      </c>
      <c r="L269" s="7" t="s">
        <v>38</v>
      </c>
      <c r="M269" s="7">
        <f t="shared" si="20"/>
        <v>0</v>
      </c>
      <c r="N269" s="9" t="s">
        <v>36</v>
      </c>
      <c r="O269" s="7">
        <v>0</v>
      </c>
      <c r="P269" s="9" t="s">
        <v>37</v>
      </c>
      <c r="Q269" s="7" t="s">
        <v>38</v>
      </c>
      <c r="R269" s="7" t="s">
        <v>38</v>
      </c>
      <c r="S269" s="10" t="s">
        <v>1641</v>
      </c>
      <c r="T269" s="7"/>
      <c r="U269" s="7"/>
      <c r="V269" s="7"/>
      <c r="W269" s="7"/>
      <c r="X269" s="7">
        <v>3</v>
      </c>
      <c r="Y269" s="7"/>
      <c r="Z269" s="7"/>
      <c r="AA269" s="7"/>
      <c r="AB269" s="7">
        <f t="shared" si="19"/>
        <v>1</v>
      </c>
      <c r="AC269" s="7">
        <f t="shared" si="21"/>
        <v>0</v>
      </c>
      <c r="AD269" s="7"/>
      <c r="AE269" s="7"/>
      <c r="AF269" s="7"/>
      <c r="AG269" s="7"/>
      <c r="AH269" s="7"/>
      <c r="AI269" s="7"/>
      <c r="AJ269" s="7"/>
      <c r="AK269" s="7"/>
      <c r="AL269" s="9"/>
      <c r="AM269" s="7" t="s">
        <v>71</v>
      </c>
      <c r="AN269" s="7" t="s">
        <v>71</v>
      </c>
      <c r="AO269" s="12"/>
    </row>
    <row r="270" spans="1:41" s="11" customFormat="1" x14ac:dyDescent="0.25">
      <c r="A270" s="2">
        <v>269</v>
      </c>
      <c r="B270" s="7" t="s">
        <v>296</v>
      </c>
      <c r="C270" s="7" t="s">
        <v>89</v>
      </c>
      <c r="D270" s="7" t="s">
        <v>315</v>
      </c>
      <c r="E270" s="7">
        <f>30+6+16+12+8+6</f>
        <v>78</v>
      </c>
      <c r="F270" s="8">
        <v>17</v>
      </c>
      <c r="G270" s="8">
        <v>21</v>
      </c>
      <c r="H270" s="7" t="s">
        <v>316</v>
      </c>
      <c r="I270" s="7">
        <v>21</v>
      </c>
      <c r="J270" s="7" t="s">
        <v>35</v>
      </c>
      <c r="K270" s="7">
        <v>2</v>
      </c>
      <c r="L270" s="7" t="s">
        <v>52</v>
      </c>
      <c r="M270" s="7">
        <f t="shared" si="20"/>
        <v>17</v>
      </c>
      <c r="N270" s="9" t="s">
        <v>36</v>
      </c>
      <c r="O270" s="7">
        <v>0</v>
      </c>
      <c r="P270" s="9" t="s">
        <v>63</v>
      </c>
      <c r="Q270" s="7" t="s">
        <v>38</v>
      </c>
      <c r="R270" s="7" t="s">
        <v>38</v>
      </c>
      <c r="S270" s="10" t="s">
        <v>1602</v>
      </c>
      <c r="T270" s="7"/>
      <c r="U270" s="7"/>
      <c r="V270" s="7"/>
      <c r="W270" s="7"/>
      <c r="X270" s="7">
        <v>3</v>
      </c>
      <c r="Y270" s="7"/>
      <c r="Z270" s="7"/>
      <c r="AA270" s="7"/>
      <c r="AB270" s="7">
        <f t="shared" si="19"/>
        <v>1</v>
      </c>
      <c r="AC270" s="7">
        <f t="shared" si="21"/>
        <v>1</v>
      </c>
      <c r="AD270" s="7"/>
      <c r="AE270" s="7"/>
      <c r="AF270" s="7"/>
      <c r="AG270" s="7"/>
      <c r="AH270" s="7"/>
      <c r="AI270" s="7"/>
      <c r="AJ270" s="7"/>
      <c r="AK270" s="7"/>
      <c r="AL270" s="9"/>
      <c r="AM270" s="7" t="s">
        <v>71</v>
      </c>
      <c r="AN270" s="7" t="s">
        <v>71</v>
      </c>
      <c r="AO270" s="12"/>
    </row>
    <row r="271" spans="1:41" s="11" customFormat="1" x14ac:dyDescent="0.25">
      <c r="A271" s="2">
        <v>270</v>
      </c>
      <c r="B271" s="7" t="s">
        <v>296</v>
      </c>
      <c r="C271" s="7" t="s">
        <v>89</v>
      </c>
      <c r="D271" s="7" t="s">
        <v>317</v>
      </c>
      <c r="E271" s="7">
        <f>12+13+11+9</f>
        <v>45</v>
      </c>
      <c r="F271" s="8">
        <v>7</v>
      </c>
      <c r="G271" s="8">
        <v>7</v>
      </c>
      <c r="H271" s="7" t="s">
        <v>122</v>
      </c>
      <c r="I271" s="7">
        <v>7</v>
      </c>
      <c r="J271" s="7" t="s">
        <v>35</v>
      </c>
      <c r="K271" s="7">
        <v>2</v>
      </c>
      <c r="L271" s="7" t="s">
        <v>52</v>
      </c>
      <c r="M271" s="7">
        <f t="shared" si="20"/>
        <v>7</v>
      </c>
      <c r="N271" s="9" t="s">
        <v>36</v>
      </c>
      <c r="O271" s="7">
        <v>1</v>
      </c>
      <c r="P271" s="9" t="s">
        <v>63</v>
      </c>
      <c r="Q271" s="7" t="s">
        <v>38</v>
      </c>
      <c r="R271" s="7" t="s">
        <v>38</v>
      </c>
      <c r="S271" s="10" t="s">
        <v>1642</v>
      </c>
      <c r="T271" s="7"/>
      <c r="U271" s="7"/>
      <c r="V271" s="7"/>
      <c r="W271" s="7"/>
      <c r="X271" s="7">
        <v>3</v>
      </c>
      <c r="Y271" s="7"/>
      <c r="Z271" s="7"/>
      <c r="AA271" s="7"/>
      <c r="AB271" s="7">
        <f t="shared" si="19"/>
        <v>1</v>
      </c>
      <c r="AC271" s="7">
        <f t="shared" si="21"/>
        <v>1</v>
      </c>
      <c r="AD271" s="7"/>
      <c r="AE271" s="7"/>
      <c r="AF271" s="7"/>
      <c r="AG271" s="7"/>
      <c r="AH271" s="7"/>
      <c r="AI271" s="7"/>
      <c r="AJ271" s="7"/>
      <c r="AK271" s="7"/>
      <c r="AL271" s="9"/>
      <c r="AM271" s="7" t="s">
        <v>71</v>
      </c>
      <c r="AN271" s="7" t="s">
        <v>71</v>
      </c>
      <c r="AO271" s="12"/>
    </row>
    <row r="272" spans="1:41" s="11" customFormat="1" x14ac:dyDescent="0.25">
      <c r="A272" s="2">
        <v>271</v>
      </c>
      <c r="B272" s="7" t="s">
        <v>296</v>
      </c>
      <c r="C272" s="7" t="s">
        <v>89</v>
      </c>
      <c r="D272" s="7" t="s">
        <v>318</v>
      </c>
      <c r="E272" s="7">
        <f>9+9+9+4+2</f>
        <v>33</v>
      </c>
      <c r="F272" s="8">
        <v>8</v>
      </c>
      <c r="G272" s="8">
        <v>10</v>
      </c>
      <c r="H272" s="7" t="s">
        <v>319</v>
      </c>
      <c r="I272" s="7">
        <v>10</v>
      </c>
      <c r="J272" s="7" t="s">
        <v>35</v>
      </c>
      <c r="K272" s="7">
        <v>2</v>
      </c>
      <c r="L272" s="7" t="s">
        <v>52</v>
      </c>
      <c r="M272" s="7">
        <f t="shared" si="20"/>
        <v>8</v>
      </c>
      <c r="N272" s="9" t="s">
        <v>36</v>
      </c>
      <c r="O272" s="7">
        <v>0</v>
      </c>
      <c r="P272" s="9" t="s">
        <v>34</v>
      </c>
      <c r="Q272" s="7" t="s">
        <v>38</v>
      </c>
      <c r="R272" s="7" t="s">
        <v>38</v>
      </c>
      <c r="S272" s="7"/>
      <c r="T272" s="7"/>
      <c r="U272" s="7"/>
      <c r="V272" s="7"/>
      <c r="W272" s="7"/>
      <c r="X272" s="7">
        <v>3</v>
      </c>
      <c r="Y272" s="7"/>
      <c r="Z272" s="7"/>
      <c r="AA272" s="7"/>
      <c r="AB272" s="7">
        <f t="shared" si="19"/>
        <v>1</v>
      </c>
      <c r="AC272" s="7">
        <f t="shared" si="21"/>
        <v>1</v>
      </c>
      <c r="AD272" s="7"/>
      <c r="AE272" s="7"/>
      <c r="AF272" s="7"/>
      <c r="AG272" s="7"/>
      <c r="AH272" s="7"/>
      <c r="AI272" s="7"/>
      <c r="AJ272" s="7"/>
      <c r="AK272" s="7"/>
      <c r="AL272" s="9"/>
      <c r="AM272" s="7" t="s">
        <v>71</v>
      </c>
      <c r="AN272" s="7" t="s">
        <v>71</v>
      </c>
      <c r="AO272" s="12"/>
    </row>
    <row r="273" spans="1:41" s="11" customFormat="1" x14ac:dyDescent="0.25">
      <c r="A273" s="2">
        <v>272</v>
      </c>
      <c r="B273" s="7" t="s">
        <v>296</v>
      </c>
      <c r="C273" s="7" t="s">
        <v>89</v>
      </c>
      <c r="D273" s="7" t="s">
        <v>320</v>
      </c>
      <c r="E273" s="7">
        <v>8</v>
      </c>
      <c r="F273" s="8">
        <v>2</v>
      </c>
      <c r="G273" s="8">
        <v>2</v>
      </c>
      <c r="H273" s="7" t="s">
        <v>87</v>
      </c>
      <c r="I273" s="7">
        <v>2</v>
      </c>
      <c r="J273" s="7" t="s">
        <v>35</v>
      </c>
      <c r="K273" s="7">
        <v>1</v>
      </c>
      <c r="L273" s="7" t="s">
        <v>52</v>
      </c>
      <c r="M273" s="7">
        <f t="shared" si="20"/>
        <v>2</v>
      </c>
      <c r="N273" s="9" t="s">
        <v>34</v>
      </c>
      <c r="O273" s="7">
        <v>0</v>
      </c>
      <c r="P273" s="9" t="s">
        <v>63</v>
      </c>
      <c r="Q273" s="7" t="s">
        <v>38</v>
      </c>
      <c r="R273" s="7" t="s">
        <v>38</v>
      </c>
      <c r="S273" s="10" t="s">
        <v>1643</v>
      </c>
      <c r="T273" s="7"/>
      <c r="U273" s="7"/>
      <c r="V273" s="7"/>
      <c r="W273" s="7"/>
      <c r="X273" s="7">
        <v>3</v>
      </c>
      <c r="Y273" s="7"/>
      <c r="Z273" s="7"/>
      <c r="AA273" s="7"/>
      <c r="AB273" s="7">
        <f t="shared" si="19"/>
        <v>1</v>
      </c>
      <c r="AC273" s="7">
        <f t="shared" si="21"/>
        <v>1</v>
      </c>
      <c r="AD273" s="7"/>
      <c r="AE273" s="7"/>
      <c r="AF273" s="7"/>
      <c r="AG273" s="7"/>
      <c r="AH273" s="7"/>
      <c r="AI273" s="7"/>
      <c r="AJ273" s="7"/>
      <c r="AK273" s="7"/>
      <c r="AL273" s="9"/>
      <c r="AM273" s="7" t="s">
        <v>71</v>
      </c>
      <c r="AN273" s="7" t="s">
        <v>71</v>
      </c>
      <c r="AO273" s="12"/>
    </row>
    <row r="274" spans="1:41" s="11" customFormat="1" x14ac:dyDescent="0.25">
      <c r="A274" s="2">
        <v>273</v>
      </c>
      <c r="B274" s="7" t="s">
        <v>296</v>
      </c>
      <c r="C274" s="7" t="s">
        <v>89</v>
      </c>
      <c r="D274" s="7" t="s">
        <v>320</v>
      </c>
      <c r="E274" s="7">
        <v>8</v>
      </c>
      <c r="F274" s="8">
        <v>2</v>
      </c>
      <c r="G274" s="8">
        <v>2</v>
      </c>
      <c r="H274" s="7" t="s">
        <v>87</v>
      </c>
      <c r="I274" s="7">
        <v>2</v>
      </c>
      <c r="J274" s="7" t="s">
        <v>35</v>
      </c>
      <c r="K274" s="7">
        <v>2</v>
      </c>
      <c r="L274" s="7" t="s">
        <v>52</v>
      </c>
      <c r="M274" s="7">
        <f t="shared" si="20"/>
        <v>2</v>
      </c>
      <c r="N274" s="9" t="s">
        <v>34</v>
      </c>
      <c r="O274" s="7">
        <v>0</v>
      </c>
      <c r="P274" s="9" t="s">
        <v>63</v>
      </c>
      <c r="Q274" s="7" t="s">
        <v>38</v>
      </c>
      <c r="R274" s="7" t="s">
        <v>38</v>
      </c>
      <c r="S274" s="10" t="s">
        <v>1644</v>
      </c>
      <c r="T274" s="7"/>
      <c r="U274" s="7"/>
      <c r="V274" s="7"/>
      <c r="W274" s="7"/>
      <c r="X274" s="7">
        <v>3</v>
      </c>
      <c r="Y274" s="7"/>
      <c r="Z274" s="7"/>
      <c r="AA274" s="7"/>
      <c r="AB274" s="7">
        <f t="shared" si="19"/>
        <v>1</v>
      </c>
      <c r="AC274" s="7">
        <f t="shared" si="21"/>
        <v>1</v>
      </c>
      <c r="AD274" s="7"/>
      <c r="AE274" s="7"/>
      <c r="AF274" s="7"/>
      <c r="AG274" s="7"/>
      <c r="AH274" s="7"/>
      <c r="AI274" s="7"/>
      <c r="AJ274" s="7"/>
      <c r="AK274" s="7"/>
      <c r="AL274" s="9"/>
      <c r="AM274" s="7" t="s">
        <v>71</v>
      </c>
      <c r="AN274" s="7" t="s">
        <v>71</v>
      </c>
      <c r="AO274" s="12"/>
    </row>
    <row r="275" spans="1:41" s="11" customFormat="1" x14ac:dyDescent="0.25">
      <c r="A275" s="2">
        <v>274</v>
      </c>
      <c r="B275" s="7" t="s">
        <v>296</v>
      </c>
      <c r="C275" s="7" t="s">
        <v>100</v>
      </c>
      <c r="D275" s="7">
        <v>10</v>
      </c>
      <c r="E275" s="7">
        <v>10</v>
      </c>
      <c r="F275" s="8">
        <v>1</v>
      </c>
      <c r="G275" s="8">
        <v>1</v>
      </c>
      <c r="H275" s="7">
        <v>1</v>
      </c>
      <c r="I275" s="7">
        <v>1</v>
      </c>
      <c r="J275" s="7" t="s">
        <v>35</v>
      </c>
      <c r="K275" s="7"/>
      <c r="L275" s="7" t="s">
        <v>52</v>
      </c>
      <c r="M275" s="7">
        <f t="shared" si="20"/>
        <v>1</v>
      </c>
      <c r="N275" s="9"/>
      <c r="O275" s="7"/>
      <c r="P275" s="9"/>
      <c r="Q275" s="7" t="s">
        <v>38</v>
      </c>
      <c r="R275" s="7" t="s">
        <v>38</v>
      </c>
      <c r="S275" s="10" t="s">
        <v>1645</v>
      </c>
      <c r="T275" s="7"/>
      <c r="U275" s="7"/>
      <c r="V275" s="7"/>
      <c r="W275" s="7"/>
      <c r="X275" s="7">
        <v>3</v>
      </c>
      <c r="Y275" s="7"/>
      <c r="Z275" s="7"/>
      <c r="AA275" s="7"/>
      <c r="AB275" s="7">
        <f t="shared" si="19"/>
        <v>1</v>
      </c>
      <c r="AC275" s="7">
        <f t="shared" si="21"/>
        <v>1</v>
      </c>
      <c r="AD275" s="7"/>
      <c r="AE275" s="7"/>
      <c r="AF275" s="7"/>
      <c r="AG275" s="7"/>
      <c r="AH275" s="7"/>
      <c r="AI275" s="10" t="s">
        <v>1645</v>
      </c>
      <c r="AJ275" s="7"/>
      <c r="AK275" s="7" t="s">
        <v>167</v>
      </c>
      <c r="AL275" s="9"/>
      <c r="AM275" s="7" t="s">
        <v>71</v>
      </c>
      <c r="AN275" s="7" t="s">
        <v>71</v>
      </c>
      <c r="AO275" s="7"/>
    </row>
    <row r="276" spans="1:41" s="11" customFormat="1" x14ac:dyDescent="0.25">
      <c r="A276" s="2">
        <v>275</v>
      </c>
      <c r="B276" s="7" t="s">
        <v>296</v>
      </c>
      <c r="C276" s="7" t="s">
        <v>100</v>
      </c>
      <c r="D276" s="7">
        <v>5</v>
      </c>
      <c r="E276" s="7">
        <v>5</v>
      </c>
      <c r="F276" s="8">
        <v>1</v>
      </c>
      <c r="G276" s="8">
        <v>1</v>
      </c>
      <c r="H276" s="7">
        <v>1</v>
      </c>
      <c r="I276" s="7">
        <v>1</v>
      </c>
      <c r="J276" s="7" t="s">
        <v>35</v>
      </c>
      <c r="K276" s="7">
        <v>2</v>
      </c>
      <c r="L276" s="7" t="s">
        <v>52</v>
      </c>
      <c r="M276" s="7">
        <f t="shared" si="20"/>
        <v>1</v>
      </c>
      <c r="N276" s="9" t="s">
        <v>34</v>
      </c>
      <c r="O276" s="7">
        <v>0</v>
      </c>
      <c r="P276" s="9" t="s">
        <v>37</v>
      </c>
      <c r="Q276" s="7" t="s">
        <v>52</v>
      </c>
      <c r="R276" s="7" t="s">
        <v>38</v>
      </c>
      <c r="S276" s="10" t="s">
        <v>1556</v>
      </c>
      <c r="T276" s="7"/>
      <c r="U276" s="7"/>
      <c r="V276" s="7"/>
      <c r="W276" s="7"/>
      <c r="X276" s="7">
        <v>3</v>
      </c>
      <c r="Y276" s="7"/>
      <c r="Z276" s="7"/>
      <c r="AA276" s="7"/>
      <c r="AB276" s="7">
        <f t="shared" si="19"/>
        <v>1</v>
      </c>
      <c r="AC276" s="7">
        <f t="shared" si="21"/>
        <v>1</v>
      </c>
      <c r="AD276" s="7"/>
      <c r="AE276" s="7"/>
      <c r="AF276" s="7"/>
      <c r="AG276" s="7"/>
      <c r="AH276" s="7"/>
      <c r="AI276" s="7"/>
      <c r="AJ276" s="7"/>
      <c r="AK276" s="7"/>
      <c r="AL276" s="9"/>
      <c r="AM276" s="7" t="s">
        <v>71</v>
      </c>
      <c r="AN276" s="7" t="s">
        <v>71</v>
      </c>
      <c r="AO276" s="7"/>
    </row>
    <row r="277" spans="1:41" s="11" customFormat="1" x14ac:dyDescent="0.25">
      <c r="A277" s="2">
        <v>276</v>
      </c>
      <c r="B277" s="7" t="s">
        <v>296</v>
      </c>
      <c r="C277" s="7" t="s">
        <v>104</v>
      </c>
      <c r="D277" s="7">
        <v>18</v>
      </c>
      <c r="E277" s="7">
        <v>18</v>
      </c>
      <c r="F277" s="8">
        <v>1</v>
      </c>
      <c r="G277" s="8">
        <v>1</v>
      </c>
      <c r="H277" s="7">
        <v>1</v>
      </c>
      <c r="I277" s="7">
        <v>1</v>
      </c>
      <c r="J277" s="7" t="s">
        <v>35</v>
      </c>
      <c r="K277" s="7">
        <v>2</v>
      </c>
      <c r="L277" s="7" t="s">
        <v>52</v>
      </c>
      <c r="M277" s="7">
        <f t="shared" si="20"/>
        <v>1</v>
      </c>
      <c r="N277" s="9" t="s">
        <v>34</v>
      </c>
      <c r="O277" s="7">
        <v>0</v>
      </c>
      <c r="P277" s="9" t="s">
        <v>63</v>
      </c>
      <c r="Q277" s="7" t="s">
        <v>38</v>
      </c>
      <c r="R277" s="7" t="s">
        <v>38</v>
      </c>
      <c r="S277" s="10" t="s">
        <v>1646</v>
      </c>
      <c r="T277" s="7"/>
      <c r="U277" s="7"/>
      <c r="V277" s="7"/>
      <c r="W277" s="7"/>
      <c r="X277" s="7">
        <v>3</v>
      </c>
      <c r="Y277" s="7"/>
      <c r="Z277" s="7"/>
      <c r="AA277" s="7"/>
      <c r="AB277" s="7">
        <f t="shared" si="19"/>
        <v>1</v>
      </c>
      <c r="AC277" s="7">
        <f t="shared" si="21"/>
        <v>1</v>
      </c>
      <c r="AD277" s="7"/>
      <c r="AE277" s="7">
        <v>1</v>
      </c>
      <c r="AF277" s="7" t="s">
        <v>40</v>
      </c>
      <c r="AG277" s="7" t="s">
        <v>138</v>
      </c>
      <c r="AH277" s="7"/>
      <c r="AI277" s="7"/>
      <c r="AJ277" s="7"/>
      <c r="AK277" s="7"/>
      <c r="AL277" s="9"/>
      <c r="AM277" s="7" t="s">
        <v>71</v>
      </c>
      <c r="AN277" s="7" t="s">
        <v>71</v>
      </c>
      <c r="AO277" s="12"/>
    </row>
    <row r="278" spans="1:41" s="11" customFormat="1" x14ac:dyDescent="0.25">
      <c r="A278" s="2">
        <v>277</v>
      </c>
      <c r="B278" s="7" t="s">
        <v>296</v>
      </c>
      <c r="C278" s="7" t="s">
        <v>119</v>
      </c>
      <c r="D278" s="7">
        <v>7</v>
      </c>
      <c r="E278" s="7">
        <v>7</v>
      </c>
      <c r="F278" s="8">
        <v>1</v>
      </c>
      <c r="G278" s="8">
        <v>1</v>
      </c>
      <c r="H278" s="7">
        <v>1</v>
      </c>
      <c r="I278" s="7">
        <v>1</v>
      </c>
      <c r="J278" s="7" t="s">
        <v>35</v>
      </c>
      <c r="K278" s="7">
        <v>1</v>
      </c>
      <c r="L278" s="7" t="s">
        <v>52</v>
      </c>
      <c r="M278" s="7">
        <f t="shared" si="20"/>
        <v>1</v>
      </c>
      <c r="N278" s="9" t="s">
        <v>36</v>
      </c>
      <c r="O278" s="7">
        <v>0</v>
      </c>
      <c r="P278" s="9" t="s">
        <v>33</v>
      </c>
      <c r="Q278" s="7"/>
      <c r="R278" s="7" t="s">
        <v>38</v>
      </c>
      <c r="S278" s="10" t="s">
        <v>1647</v>
      </c>
      <c r="T278" s="7"/>
      <c r="U278" s="7"/>
      <c r="V278" s="7"/>
      <c r="W278" s="7"/>
      <c r="X278" s="7"/>
      <c r="Y278" s="7"/>
      <c r="Z278" s="7"/>
      <c r="AA278" s="7"/>
      <c r="AB278" s="7">
        <v>0.33333333333333298</v>
      </c>
      <c r="AC278" s="7">
        <f t="shared" si="21"/>
        <v>0.33333333333333298</v>
      </c>
      <c r="AD278" s="7"/>
      <c r="AE278" s="7"/>
      <c r="AF278" s="7" t="s">
        <v>40</v>
      </c>
      <c r="AG278" s="7" t="s">
        <v>138</v>
      </c>
      <c r="AH278" s="7"/>
      <c r="AI278" s="7"/>
      <c r="AJ278" s="7"/>
      <c r="AK278" s="7"/>
      <c r="AL278" s="9"/>
      <c r="AM278" s="7" t="s">
        <v>71</v>
      </c>
      <c r="AN278" s="7" t="s">
        <v>71</v>
      </c>
      <c r="AO278" s="12"/>
    </row>
    <row r="279" spans="1:41" s="11" customFormat="1" x14ac:dyDescent="0.25">
      <c r="A279" s="2">
        <v>278</v>
      </c>
      <c r="B279" s="7" t="s">
        <v>296</v>
      </c>
      <c r="C279" s="7" t="s">
        <v>119</v>
      </c>
      <c r="D279" s="7">
        <v>2</v>
      </c>
      <c r="E279" s="7">
        <v>2</v>
      </c>
      <c r="F279" s="8">
        <v>1</v>
      </c>
      <c r="G279" s="8">
        <v>1</v>
      </c>
      <c r="H279" s="7">
        <v>1</v>
      </c>
      <c r="I279" s="7">
        <v>1</v>
      </c>
      <c r="J279" s="7" t="s">
        <v>35</v>
      </c>
      <c r="K279" s="7">
        <v>2</v>
      </c>
      <c r="L279" s="7" t="s">
        <v>52</v>
      </c>
      <c r="M279" s="7">
        <f t="shared" si="20"/>
        <v>1</v>
      </c>
      <c r="N279" s="9" t="s">
        <v>36</v>
      </c>
      <c r="O279" s="7">
        <v>0</v>
      </c>
      <c r="P279" s="9" t="s">
        <v>63</v>
      </c>
      <c r="Q279" s="7"/>
      <c r="R279" s="7" t="s">
        <v>38</v>
      </c>
      <c r="S279" s="7" t="s">
        <v>165</v>
      </c>
      <c r="T279" s="7"/>
      <c r="U279" s="7"/>
      <c r="V279" s="7"/>
      <c r="W279" s="7"/>
      <c r="X279" s="7"/>
      <c r="Y279" s="7"/>
      <c r="Z279" s="7"/>
      <c r="AA279" s="7"/>
      <c r="AB279" s="7">
        <v>0.33333333333333298</v>
      </c>
      <c r="AC279" s="7">
        <f t="shared" si="21"/>
        <v>0.33333333333333298</v>
      </c>
      <c r="AD279" s="7"/>
      <c r="AE279" s="7"/>
      <c r="AF279" s="7" t="s">
        <v>40</v>
      </c>
      <c r="AG279" s="7" t="s">
        <v>138</v>
      </c>
      <c r="AH279" s="7"/>
      <c r="AI279" s="7"/>
      <c r="AJ279" s="7"/>
      <c r="AK279" s="7"/>
      <c r="AL279" s="9"/>
      <c r="AM279" s="7" t="s">
        <v>71</v>
      </c>
      <c r="AN279" s="7" t="s">
        <v>71</v>
      </c>
      <c r="AO279" s="12"/>
    </row>
    <row r="280" spans="1:41" s="11" customFormat="1" x14ac:dyDescent="0.25">
      <c r="A280" s="2">
        <v>279</v>
      </c>
      <c r="B280" s="7" t="s">
        <v>296</v>
      </c>
      <c r="C280" s="7" t="s">
        <v>119</v>
      </c>
      <c r="D280" s="7">
        <v>6</v>
      </c>
      <c r="E280" s="7">
        <v>6</v>
      </c>
      <c r="F280" s="8">
        <v>1</v>
      </c>
      <c r="G280" s="8">
        <v>1</v>
      </c>
      <c r="H280" s="7">
        <v>1</v>
      </c>
      <c r="I280" s="7">
        <v>1</v>
      </c>
      <c r="J280" s="7" t="s">
        <v>35</v>
      </c>
      <c r="K280" s="7">
        <v>1</v>
      </c>
      <c r="L280" s="7" t="s">
        <v>52</v>
      </c>
      <c r="M280" s="7">
        <f t="shared" si="20"/>
        <v>1</v>
      </c>
      <c r="N280" s="9" t="s">
        <v>82</v>
      </c>
      <c r="O280" s="7">
        <v>0</v>
      </c>
      <c r="P280" s="9" t="s">
        <v>34</v>
      </c>
      <c r="Q280" s="7"/>
      <c r="R280" s="7" t="s">
        <v>38</v>
      </c>
      <c r="S280" s="7" t="s">
        <v>165</v>
      </c>
      <c r="T280" s="7"/>
      <c r="U280" s="7"/>
      <c r="V280" s="7"/>
      <c r="W280" s="7"/>
      <c r="X280" s="7"/>
      <c r="Y280" s="7"/>
      <c r="Z280" s="7"/>
      <c r="AA280" s="7"/>
      <c r="AB280" s="7">
        <v>0.33333333333333298</v>
      </c>
      <c r="AC280" s="7">
        <f t="shared" si="21"/>
        <v>0.33333333333333298</v>
      </c>
      <c r="AD280" s="7"/>
      <c r="AE280" s="7"/>
      <c r="AF280" s="7" t="s">
        <v>40</v>
      </c>
      <c r="AG280" s="7" t="s">
        <v>120</v>
      </c>
      <c r="AH280" s="7"/>
      <c r="AI280" s="7"/>
      <c r="AJ280" s="7"/>
      <c r="AK280" s="7"/>
      <c r="AL280" s="9"/>
      <c r="AM280" s="7" t="s">
        <v>71</v>
      </c>
      <c r="AN280" s="7" t="s">
        <v>71</v>
      </c>
      <c r="AO280" s="12"/>
    </row>
    <row r="281" spans="1:41" s="11" customFormat="1" x14ac:dyDescent="0.25">
      <c r="A281" s="2">
        <v>280</v>
      </c>
      <c r="B281" s="7" t="s">
        <v>296</v>
      </c>
      <c r="C281" s="7" t="s">
        <v>119</v>
      </c>
      <c r="D281" s="7">
        <v>3</v>
      </c>
      <c r="E281" s="7">
        <v>3</v>
      </c>
      <c r="F281" s="8">
        <v>1</v>
      </c>
      <c r="G281" s="8">
        <v>1</v>
      </c>
      <c r="H281" s="7">
        <v>1</v>
      </c>
      <c r="I281" s="7">
        <v>1</v>
      </c>
      <c r="J281" s="7" t="s">
        <v>35</v>
      </c>
      <c r="K281" s="7">
        <v>2</v>
      </c>
      <c r="L281" s="7" t="s">
        <v>52</v>
      </c>
      <c r="M281" s="7">
        <f t="shared" si="20"/>
        <v>1</v>
      </c>
      <c r="N281" s="9" t="s">
        <v>36</v>
      </c>
      <c r="O281" s="7">
        <v>0</v>
      </c>
      <c r="P281" s="9" t="s">
        <v>63</v>
      </c>
      <c r="Q281" s="7"/>
      <c r="R281" s="7" t="s">
        <v>38</v>
      </c>
      <c r="S281" s="7" t="s">
        <v>321</v>
      </c>
      <c r="T281" s="7"/>
      <c r="U281" s="7"/>
      <c r="V281" s="7"/>
      <c r="W281" s="7"/>
      <c r="X281" s="7"/>
      <c r="Y281" s="7"/>
      <c r="Z281" s="7"/>
      <c r="AA281" s="7"/>
      <c r="AB281" s="7">
        <v>0.33333333333333298</v>
      </c>
      <c r="AC281" s="7">
        <f t="shared" si="21"/>
        <v>0.33333333333333298</v>
      </c>
      <c r="AD281" s="7"/>
      <c r="AE281" s="7"/>
      <c r="AF281" s="7" t="s">
        <v>40</v>
      </c>
      <c r="AG281" s="7" t="s">
        <v>162</v>
      </c>
      <c r="AH281" s="7"/>
      <c r="AI281" s="7"/>
      <c r="AJ281" s="7"/>
      <c r="AK281" s="7"/>
      <c r="AL281" s="9"/>
      <c r="AM281" s="7" t="s">
        <v>71</v>
      </c>
      <c r="AN281" s="7" t="s">
        <v>71</v>
      </c>
      <c r="AO281" s="12"/>
    </row>
    <row r="282" spans="1:41" s="11" customFormat="1" x14ac:dyDescent="0.25">
      <c r="A282" s="2">
        <v>281</v>
      </c>
      <c r="B282" s="7" t="s">
        <v>296</v>
      </c>
      <c r="C282" s="7" t="s">
        <v>78</v>
      </c>
      <c r="D282" s="7">
        <v>7</v>
      </c>
      <c r="E282" s="7">
        <v>7</v>
      </c>
      <c r="F282" s="8">
        <v>1</v>
      </c>
      <c r="G282" s="8">
        <v>1</v>
      </c>
      <c r="H282" s="7">
        <v>1</v>
      </c>
      <c r="I282" s="7">
        <v>1</v>
      </c>
      <c r="J282" s="7" t="s">
        <v>176</v>
      </c>
      <c r="K282" s="7" t="s">
        <v>189</v>
      </c>
      <c r="L282" s="7" t="s">
        <v>52</v>
      </c>
      <c r="M282" s="7">
        <f t="shared" si="20"/>
        <v>1</v>
      </c>
      <c r="N282" s="9"/>
      <c r="O282" s="7"/>
      <c r="P282" s="9"/>
      <c r="Q282" s="7" t="s">
        <v>52</v>
      </c>
      <c r="R282" s="7" t="s">
        <v>52</v>
      </c>
      <c r="S282" s="10" t="s">
        <v>1648</v>
      </c>
      <c r="T282" s="7">
        <v>6</v>
      </c>
      <c r="U282" s="7">
        <v>6</v>
      </c>
      <c r="V282" s="7" t="s">
        <v>253</v>
      </c>
      <c r="W282" s="7" t="s">
        <v>254</v>
      </c>
      <c r="X282" s="7"/>
      <c r="Y282" s="7"/>
      <c r="Z282" s="7"/>
      <c r="AA282" s="7"/>
      <c r="AB282" s="7">
        <f t="shared" ref="AB282:AB288" si="22">(U282+X282+Z282)/3</f>
        <v>2</v>
      </c>
      <c r="AC282" s="7">
        <f t="shared" si="21"/>
        <v>2</v>
      </c>
      <c r="AD282" s="7"/>
      <c r="AE282" s="7"/>
      <c r="AF282" s="7"/>
      <c r="AG282" s="7"/>
      <c r="AH282" s="7"/>
      <c r="AI282" s="7"/>
      <c r="AJ282" s="7"/>
      <c r="AK282" s="7"/>
      <c r="AL282" s="9"/>
      <c r="AM282" s="7" t="s">
        <v>322</v>
      </c>
      <c r="AN282" s="7" t="s">
        <v>2846</v>
      </c>
      <c r="AO282" s="10" t="s">
        <v>2532</v>
      </c>
    </row>
    <row r="283" spans="1:41" s="11" customFormat="1" ht="24" x14ac:dyDescent="0.25">
      <c r="A283" s="2">
        <v>282</v>
      </c>
      <c r="B283" s="7" t="s">
        <v>296</v>
      </c>
      <c r="C283" s="7" t="s">
        <v>323</v>
      </c>
      <c r="D283" s="7" t="s">
        <v>324</v>
      </c>
      <c r="E283" s="7">
        <f>97+66+37+29</f>
        <v>229</v>
      </c>
      <c r="F283" s="8">
        <v>1</v>
      </c>
      <c r="G283" s="8">
        <v>1</v>
      </c>
      <c r="H283" s="7">
        <v>1</v>
      </c>
      <c r="I283" s="7">
        <v>1</v>
      </c>
      <c r="J283" s="7" t="s">
        <v>176</v>
      </c>
      <c r="K283" s="7">
        <v>3</v>
      </c>
      <c r="L283" s="7" t="s">
        <v>52</v>
      </c>
      <c r="M283" s="7">
        <f t="shared" si="20"/>
        <v>1</v>
      </c>
      <c r="N283" s="9" t="s">
        <v>177</v>
      </c>
      <c r="O283" s="7">
        <v>0</v>
      </c>
      <c r="P283" s="9" t="s">
        <v>63</v>
      </c>
      <c r="Q283" s="7" t="s">
        <v>38</v>
      </c>
      <c r="R283" s="7" t="s">
        <v>52</v>
      </c>
      <c r="S283" s="10" t="s">
        <v>1649</v>
      </c>
      <c r="T283" s="7">
        <v>13</v>
      </c>
      <c r="U283" s="7">
        <v>13</v>
      </c>
      <c r="V283" s="7">
        <v>370</v>
      </c>
      <c r="W283" s="7" t="s">
        <v>214</v>
      </c>
      <c r="X283" s="7">
        <v>5</v>
      </c>
      <c r="Y283" s="7">
        <v>20</v>
      </c>
      <c r="Z283" s="7">
        <v>20</v>
      </c>
      <c r="AA283" s="7" t="s">
        <v>325</v>
      </c>
      <c r="AB283" s="7">
        <f t="shared" si="22"/>
        <v>12.666666666666666</v>
      </c>
      <c r="AC283" s="7">
        <f t="shared" si="21"/>
        <v>12.666666666666666</v>
      </c>
      <c r="AD283" s="7"/>
      <c r="AE283" s="7"/>
      <c r="AF283" s="7"/>
      <c r="AG283" s="7"/>
      <c r="AH283" s="7"/>
      <c r="AI283" s="7"/>
      <c r="AJ283" s="7"/>
      <c r="AK283" s="7"/>
      <c r="AL283" s="9"/>
      <c r="AM283" s="7" t="s">
        <v>215</v>
      </c>
      <c r="AN283" s="7" t="s">
        <v>2850</v>
      </c>
      <c r="AO283" s="10" t="s">
        <v>2533</v>
      </c>
    </row>
    <row r="284" spans="1:41" s="11" customFormat="1" x14ac:dyDescent="0.25">
      <c r="A284" s="2">
        <v>283</v>
      </c>
      <c r="B284" s="7" t="s">
        <v>296</v>
      </c>
      <c r="C284" s="7" t="s">
        <v>100</v>
      </c>
      <c r="D284" s="7">
        <v>10</v>
      </c>
      <c r="E284" s="7">
        <v>10</v>
      </c>
      <c r="F284" s="8">
        <v>1</v>
      </c>
      <c r="G284" s="8">
        <v>1</v>
      </c>
      <c r="H284" s="7">
        <v>1</v>
      </c>
      <c r="I284" s="7">
        <v>1</v>
      </c>
      <c r="J284" s="7" t="s">
        <v>176</v>
      </c>
      <c r="K284" s="7">
        <v>6</v>
      </c>
      <c r="L284" s="7" t="s">
        <v>52</v>
      </c>
      <c r="M284" s="7">
        <f t="shared" si="20"/>
        <v>1</v>
      </c>
      <c r="N284" s="9" t="s">
        <v>177</v>
      </c>
      <c r="O284" s="7">
        <v>0</v>
      </c>
      <c r="P284" s="9" t="s">
        <v>63</v>
      </c>
      <c r="Q284" s="7" t="s">
        <v>38</v>
      </c>
      <c r="R284" s="7" t="s">
        <v>52</v>
      </c>
      <c r="S284" s="7" t="s">
        <v>326</v>
      </c>
      <c r="T284" s="7"/>
      <c r="U284" s="7"/>
      <c r="V284" s="7"/>
      <c r="W284" s="7"/>
      <c r="X284" s="7">
        <v>3</v>
      </c>
      <c r="Y284" s="7"/>
      <c r="Z284" s="7"/>
      <c r="AA284" s="7"/>
      <c r="AB284" s="7">
        <f t="shared" si="22"/>
        <v>1</v>
      </c>
      <c r="AC284" s="7">
        <f t="shared" si="21"/>
        <v>1</v>
      </c>
      <c r="AD284" s="7"/>
      <c r="AE284" s="7"/>
      <c r="AF284" s="7"/>
      <c r="AG284" s="7"/>
      <c r="AH284" s="7"/>
      <c r="AI284" s="7"/>
      <c r="AJ284" s="7"/>
      <c r="AK284" s="7"/>
      <c r="AL284" s="9"/>
      <c r="AM284" s="7" t="s">
        <v>71</v>
      </c>
      <c r="AN284" s="7" t="s">
        <v>71</v>
      </c>
      <c r="AO284" s="12"/>
    </row>
    <row r="285" spans="1:41" s="11" customFormat="1" ht="24" x14ac:dyDescent="0.25">
      <c r="A285" s="2">
        <v>284</v>
      </c>
      <c r="B285" s="7" t="s">
        <v>296</v>
      </c>
      <c r="C285" s="7" t="s">
        <v>89</v>
      </c>
      <c r="D285" s="7" t="s">
        <v>327</v>
      </c>
      <c r="E285" s="7">
        <v>14</v>
      </c>
      <c r="F285" s="8">
        <v>1</v>
      </c>
      <c r="G285" s="8">
        <v>2</v>
      </c>
      <c r="H285" s="7" t="s">
        <v>87</v>
      </c>
      <c r="I285" s="7">
        <v>2</v>
      </c>
      <c r="J285" s="7" t="s">
        <v>176</v>
      </c>
      <c r="K285" s="7">
        <v>6</v>
      </c>
      <c r="L285" s="7" t="s">
        <v>52</v>
      </c>
      <c r="M285" s="7">
        <f t="shared" si="20"/>
        <v>1</v>
      </c>
      <c r="N285" s="9" t="s">
        <v>177</v>
      </c>
      <c r="O285" s="7">
        <v>0</v>
      </c>
      <c r="P285" s="9" t="s">
        <v>63</v>
      </c>
      <c r="Q285" s="7" t="s">
        <v>38</v>
      </c>
      <c r="R285" s="7" t="s">
        <v>52</v>
      </c>
      <c r="S285" s="10" t="s">
        <v>1650</v>
      </c>
      <c r="T285" s="7"/>
      <c r="U285" s="7"/>
      <c r="V285" s="7"/>
      <c r="W285" s="7"/>
      <c r="X285" s="7">
        <v>3</v>
      </c>
      <c r="Y285" s="7"/>
      <c r="Z285" s="7"/>
      <c r="AA285" s="7"/>
      <c r="AB285" s="7">
        <f t="shared" si="22"/>
        <v>1</v>
      </c>
      <c r="AC285" s="7">
        <f t="shared" si="21"/>
        <v>1</v>
      </c>
      <c r="AD285" s="7"/>
      <c r="AE285" s="7"/>
      <c r="AF285" s="7"/>
      <c r="AG285" s="7"/>
      <c r="AH285" s="7"/>
      <c r="AI285" s="7"/>
      <c r="AJ285" s="10" t="s">
        <v>2341</v>
      </c>
      <c r="AK285" s="7"/>
      <c r="AL285" s="9"/>
      <c r="AM285" s="7" t="s">
        <v>71</v>
      </c>
      <c r="AN285" s="7" t="s">
        <v>71</v>
      </c>
      <c r="AO285" s="12"/>
    </row>
    <row r="286" spans="1:41" s="11" customFormat="1" ht="24" x14ac:dyDescent="0.25">
      <c r="A286" s="2">
        <v>285</v>
      </c>
      <c r="B286" s="7" t="s">
        <v>296</v>
      </c>
      <c r="C286" s="7" t="s">
        <v>78</v>
      </c>
      <c r="D286" s="7">
        <v>12</v>
      </c>
      <c r="E286" s="7">
        <v>12</v>
      </c>
      <c r="F286" s="8">
        <v>1</v>
      </c>
      <c r="G286" s="8">
        <v>1</v>
      </c>
      <c r="H286" s="7">
        <v>1</v>
      </c>
      <c r="I286" s="7">
        <v>1</v>
      </c>
      <c r="J286" s="7" t="s">
        <v>176</v>
      </c>
      <c r="K286" s="7" t="s">
        <v>268</v>
      </c>
      <c r="L286" s="7" t="s">
        <v>52</v>
      </c>
      <c r="M286" s="7">
        <f t="shared" si="20"/>
        <v>1</v>
      </c>
      <c r="N286" s="9" t="s">
        <v>177</v>
      </c>
      <c r="O286" s="7">
        <v>0</v>
      </c>
      <c r="P286" s="9" t="s">
        <v>63</v>
      </c>
      <c r="Q286" s="7" t="s">
        <v>38</v>
      </c>
      <c r="R286" s="7" t="s">
        <v>38</v>
      </c>
      <c r="S286" s="10" t="s">
        <v>1651</v>
      </c>
      <c r="T286" s="7">
        <v>8</v>
      </c>
      <c r="U286" s="7">
        <v>8</v>
      </c>
      <c r="V286" s="7">
        <v>160</v>
      </c>
      <c r="W286" s="7" t="s">
        <v>328</v>
      </c>
      <c r="X286" s="7"/>
      <c r="Y286" s="7"/>
      <c r="Z286" s="7"/>
      <c r="AA286" s="7"/>
      <c r="AB286" s="7">
        <f t="shared" si="22"/>
        <v>2.6666666666666665</v>
      </c>
      <c r="AC286" s="7">
        <f t="shared" si="21"/>
        <v>2.6666666666666665</v>
      </c>
      <c r="AD286" s="7"/>
      <c r="AE286" s="7"/>
      <c r="AF286" s="7"/>
      <c r="AG286" s="7"/>
      <c r="AH286" s="7"/>
      <c r="AI286" s="7"/>
      <c r="AJ286" s="7"/>
      <c r="AK286" s="10" t="s">
        <v>2437</v>
      </c>
      <c r="AL286" s="9"/>
      <c r="AM286" s="7" t="s">
        <v>137</v>
      </c>
      <c r="AN286" s="7" t="s">
        <v>2848</v>
      </c>
      <c r="AO286" s="7"/>
    </row>
    <row r="287" spans="1:41" s="11" customFormat="1" ht="24" x14ac:dyDescent="0.25">
      <c r="A287" s="2">
        <v>286</v>
      </c>
      <c r="B287" s="7" t="s">
        <v>296</v>
      </c>
      <c r="C287" s="7" t="s">
        <v>50</v>
      </c>
      <c r="D287" s="7">
        <v>18</v>
      </c>
      <c r="E287" s="7">
        <v>18</v>
      </c>
      <c r="F287" s="8">
        <v>1</v>
      </c>
      <c r="G287" s="8">
        <v>1</v>
      </c>
      <c r="H287" s="7">
        <v>1</v>
      </c>
      <c r="I287" s="7">
        <v>1</v>
      </c>
      <c r="J287" s="7" t="s">
        <v>176</v>
      </c>
      <c r="K287" s="7" t="s">
        <v>268</v>
      </c>
      <c r="L287" s="7" t="s">
        <v>52</v>
      </c>
      <c r="M287" s="7">
        <f t="shared" si="20"/>
        <v>1</v>
      </c>
      <c r="N287" s="9" t="s">
        <v>177</v>
      </c>
      <c r="O287" s="7">
        <v>0</v>
      </c>
      <c r="P287" s="9" t="s">
        <v>63</v>
      </c>
      <c r="Q287" s="7" t="s">
        <v>38</v>
      </c>
      <c r="R287" s="7" t="s">
        <v>38</v>
      </c>
      <c r="S287" s="10" t="s">
        <v>1652</v>
      </c>
      <c r="T287" s="7"/>
      <c r="U287" s="7"/>
      <c r="V287" s="7"/>
      <c r="W287" s="7"/>
      <c r="X287" s="7"/>
      <c r="Y287" s="7">
        <v>15</v>
      </c>
      <c r="Z287" s="7">
        <v>15</v>
      </c>
      <c r="AA287" s="7">
        <v>80</v>
      </c>
      <c r="AB287" s="7">
        <f t="shared" si="22"/>
        <v>5</v>
      </c>
      <c r="AC287" s="7">
        <f t="shared" si="21"/>
        <v>5</v>
      </c>
      <c r="AD287" s="7"/>
      <c r="AE287" s="7"/>
      <c r="AF287" s="7"/>
      <c r="AG287" s="7"/>
      <c r="AH287" s="7"/>
      <c r="AI287" s="7"/>
      <c r="AJ287" s="7"/>
      <c r="AK287" s="7"/>
      <c r="AL287" s="9"/>
      <c r="AM287" s="7" t="s">
        <v>71</v>
      </c>
      <c r="AN287" s="7" t="s">
        <v>71</v>
      </c>
      <c r="AO287" s="7"/>
    </row>
    <row r="288" spans="1:41" s="11" customFormat="1" ht="24" x14ac:dyDescent="0.25">
      <c r="A288" s="2">
        <v>287</v>
      </c>
      <c r="B288" s="7" t="s">
        <v>296</v>
      </c>
      <c r="C288" s="7" t="s">
        <v>89</v>
      </c>
      <c r="D288" s="7" t="s">
        <v>329</v>
      </c>
      <c r="E288" s="7">
        <v>15</v>
      </c>
      <c r="F288" s="8">
        <v>3</v>
      </c>
      <c r="G288" s="8">
        <v>3</v>
      </c>
      <c r="H288" s="7" t="s">
        <v>97</v>
      </c>
      <c r="I288" s="7">
        <v>3</v>
      </c>
      <c r="J288" s="7" t="s">
        <v>176</v>
      </c>
      <c r="K288" s="7" t="s">
        <v>268</v>
      </c>
      <c r="L288" s="7" t="s">
        <v>52</v>
      </c>
      <c r="M288" s="7">
        <f t="shared" si="20"/>
        <v>3</v>
      </c>
      <c r="N288" s="9" t="s">
        <v>177</v>
      </c>
      <c r="O288" s="7">
        <v>0</v>
      </c>
      <c r="P288" s="9" t="s">
        <v>63</v>
      </c>
      <c r="Q288" s="7" t="s">
        <v>38</v>
      </c>
      <c r="R288" s="7" t="s">
        <v>52</v>
      </c>
      <c r="S288" s="10" t="s">
        <v>1653</v>
      </c>
      <c r="T288" s="7"/>
      <c r="U288" s="7"/>
      <c r="V288" s="7"/>
      <c r="W288" s="7"/>
      <c r="X288" s="7">
        <v>3</v>
      </c>
      <c r="Y288" s="7"/>
      <c r="Z288" s="7"/>
      <c r="AA288" s="7"/>
      <c r="AB288" s="7">
        <f t="shared" si="22"/>
        <v>1</v>
      </c>
      <c r="AC288" s="7">
        <f t="shared" si="21"/>
        <v>1</v>
      </c>
      <c r="AD288" s="7"/>
      <c r="AE288" s="7"/>
      <c r="AF288" s="7"/>
      <c r="AG288" s="7"/>
      <c r="AH288" s="7"/>
      <c r="AI288" s="7"/>
      <c r="AJ288" s="7"/>
      <c r="AK288" s="7"/>
      <c r="AL288" s="9"/>
      <c r="AM288" s="7" t="s">
        <v>71</v>
      </c>
      <c r="AN288" s="7" t="s">
        <v>71</v>
      </c>
      <c r="AO288" s="12"/>
    </row>
    <row r="289" spans="1:41" s="11" customFormat="1" x14ac:dyDescent="0.25">
      <c r="A289" s="2">
        <v>288</v>
      </c>
      <c r="B289" s="7" t="s">
        <v>296</v>
      </c>
      <c r="C289" s="7" t="s">
        <v>119</v>
      </c>
      <c r="D289" s="7">
        <v>2</v>
      </c>
      <c r="E289" s="7">
        <v>2</v>
      </c>
      <c r="F289" s="8">
        <v>1</v>
      </c>
      <c r="G289" s="8">
        <v>1</v>
      </c>
      <c r="H289" s="7">
        <v>1</v>
      </c>
      <c r="I289" s="7">
        <v>1</v>
      </c>
      <c r="J289" s="7" t="s">
        <v>176</v>
      </c>
      <c r="K289" s="7" t="s">
        <v>268</v>
      </c>
      <c r="L289" s="7" t="s">
        <v>52</v>
      </c>
      <c r="M289" s="7">
        <f t="shared" si="20"/>
        <v>1</v>
      </c>
      <c r="N289" s="9" t="s">
        <v>109</v>
      </c>
      <c r="O289" s="7">
        <v>0</v>
      </c>
      <c r="P289" s="9" t="s">
        <v>63</v>
      </c>
      <c r="Q289" s="7"/>
      <c r="R289" s="7" t="s">
        <v>38</v>
      </c>
      <c r="S289" s="10" t="s">
        <v>1654</v>
      </c>
      <c r="T289" s="7"/>
      <c r="U289" s="7"/>
      <c r="V289" s="7"/>
      <c r="W289" s="7"/>
      <c r="X289" s="7"/>
      <c r="Y289" s="7"/>
      <c r="Z289" s="7"/>
      <c r="AA289" s="7"/>
      <c r="AB289" s="7">
        <v>0.33333333333333298</v>
      </c>
      <c r="AC289" s="7">
        <f t="shared" si="21"/>
        <v>0.33333333333333298</v>
      </c>
      <c r="AD289" s="7">
        <v>1</v>
      </c>
      <c r="AE289" s="7"/>
      <c r="AF289" s="7" t="s">
        <v>40</v>
      </c>
      <c r="AG289" s="7" t="s">
        <v>330</v>
      </c>
      <c r="AH289" s="7"/>
      <c r="AI289" s="7"/>
      <c r="AJ289" s="7"/>
      <c r="AK289" s="7"/>
      <c r="AL289" s="9"/>
      <c r="AM289" s="7" t="s">
        <v>71</v>
      </c>
      <c r="AN289" s="7" t="s">
        <v>71</v>
      </c>
      <c r="AO289" s="12"/>
    </row>
    <row r="290" spans="1:41" s="11" customFormat="1" ht="24" x14ac:dyDescent="0.25">
      <c r="A290" s="2">
        <v>289</v>
      </c>
      <c r="B290" s="7" t="s">
        <v>296</v>
      </c>
      <c r="C290" s="7" t="s">
        <v>78</v>
      </c>
      <c r="D290" s="7">
        <v>2</v>
      </c>
      <c r="E290" s="7">
        <v>2</v>
      </c>
      <c r="F290" s="8">
        <v>1</v>
      </c>
      <c r="G290" s="8">
        <v>1</v>
      </c>
      <c r="H290" s="7">
        <v>1</v>
      </c>
      <c r="I290" s="7">
        <v>1</v>
      </c>
      <c r="J290" s="7" t="s">
        <v>176</v>
      </c>
      <c r="K290" s="7">
        <v>2</v>
      </c>
      <c r="L290" s="7" t="s">
        <v>52</v>
      </c>
      <c r="M290" s="7">
        <f t="shared" si="20"/>
        <v>1</v>
      </c>
      <c r="N290" s="9" t="s">
        <v>177</v>
      </c>
      <c r="O290" s="7">
        <v>0</v>
      </c>
      <c r="P290" s="9" t="s">
        <v>63</v>
      </c>
      <c r="Q290" s="7" t="s">
        <v>38</v>
      </c>
      <c r="R290" s="7" t="s">
        <v>38</v>
      </c>
      <c r="S290" s="7" t="s">
        <v>210</v>
      </c>
      <c r="T290" s="7">
        <v>8</v>
      </c>
      <c r="U290" s="7">
        <v>8</v>
      </c>
      <c r="V290" s="7">
        <v>85</v>
      </c>
      <c r="W290" s="7" t="s">
        <v>331</v>
      </c>
      <c r="X290" s="7"/>
      <c r="Y290" s="7"/>
      <c r="Z290" s="7"/>
      <c r="AA290" s="7"/>
      <c r="AB290" s="7">
        <f t="shared" ref="AB290:AB310" si="23">(U290+X290+Z290)/3</f>
        <v>2.6666666666666665</v>
      </c>
      <c r="AC290" s="7">
        <f t="shared" si="21"/>
        <v>2.6666666666666665</v>
      </c>
      <c r="AD290" s="7"/>
      <c r="AE290" s="7"/>
      <c r="AF290" s="7"/>
      <c r="AG290" s="7"/>
      <c r="AH290" s="7"/>
      <c r="AI290" s="7" t="s">
        <v>332</v>
      </c>
      <c r="AJ290" s="7"/>
      <c r="AK290" s="7"/>
      <c r="AL290" s="9"/>
      <c r="AM290" s="7" t="s">
        <v>333</v>
      </c>
      <c r="AN290" s="7" t="s">
        <v>2851</v>
      </c>
      <c r="AO290" s="10"/>
    </row>
    <row r="291" spans="1:41" s="11" customFormat="1" ht="24" x14ac:dyDescent="0.25">
      <c r="A291" s="2">
        <v>290</v>
      </c>
      <c r="B291" s="7" t="s">
        <v>296</v>
      </c>
      <c r="C291" s="7" t="s">
        <v>50</v>
      </c>
      <c r="D291" s="7">
        <v>9</v>
      </c>
      <c r="E291" s="7">
        <v>9</v>
      </c>
      <c r="F291" s="8">
        <v>1</v>
      </c>
      <c r="G291" s="8">
        <v>1</v>
      </c>
      <c r="H291" s="7">
        <v>1</v>
      </c>
      <c r="I291" s="7">
        <v>1</v>
      </c>
      <c r="J291" s="7" t="s">
        <v>176</v>
      </c>
      <c r="K291" s="7">
        <v>2</v>
      </c>
      <c r="L291" s="7" t="s">
        <v>52</v>
      </c>
      <c r="M291" s="7">
        <f t="shared" si="20"/>
        <v>1</v>
      </c>
      <c r="N291" s="9" t="s">
        <v>177</v>
      </c>
      <c r="O291" s="7">
        <v>0</v>
      </c>
      <c r="P291" s="9" t="s">
        <v>63</v>
      </c>
      <c r="Q291" s="7" t="s">
        <v>38</v>
      </c>
      <c r="R291" s="7" t="s">
        <v>38</v>
      </c>
      <c r="S291" s="10" t="s">
        <v>1655</v>
      </c>
      <c r="T291" s="7"/>
      <c r="U291" s="7"/>
      <c r="V291" s="7"/>
      <c r="W291" s="7"/>
      <c r="X291" s="7"/>
      <c r="Y291" s="7">
        <v>12</v>
      </c>
      <c r="Z291" s="7">
        <v>12</v>
      </c>
      <c r="AA291" s="7">
        <v>80</v>
      </c>
      <c r="AB291" s="7">
        <f t="shared" si="23"/>
        <v>4</v>
      </c>
      <c r="AC291" s="7">
        <f t="shared" si="21"/>
        <v>4</v>
      </c>
      <c r="AD291" s="7"/>
      <c r="AE291" s="7"/>
      <c r="AF291" s="7"/>
      <c r="AG291" s="7"/>
      <c r="AH291" s="7"/>
      <c r="AI291" s="7" t="s">
        <v>334</v>
      </c>
      <c r="AJ291" s="7"/>
      <c r="AK291" s="7"/>
      <c r="AL291" s="9"/>
      <c r="AM291" s="7" t="s">
        <v>71</v>
      </c>
      <c r="AN291" s="7" t="s">
        <v>71</v>
      </c>
      <c r="AO291" s="12"/>
    </row>
    <row r="292" spans="1:41" s="11" customFormat="1" ht="48" x14ac:dyDescent="0.25">
      <c r="A292" s="2">
        <v>291</v>
      </c>
      <c r="B292" s="7" t="s">
        <v>296</v>
      </c>
      <c r="C292" s="7" t="s">
        <v>78</v>
      </c>
      <c r="D292" s="7">
        <v>14</v>
      </c>
      <c r="E292" s="7">
        <v>14</v>
      </c>
      <c r="F292" s="8">
        <v>1</v>
      </c>
      <c r="G292" s="8">
        <v>1</v>
      </c>
      <c r="H292" s="7">
        <v>1</v>
      </c>
      <c r="I292" s="7">
        <v>1</v>
      </c>
      <c r="J292" s="7" t="s">
        <v>176</v>
      </c>
      <c r="K292" s="7">
        <v>2</v>
      </c>
      <c r="L292" s="7" t="s">
        <v>52</v>
      </c>
      <c r="M292" s="7">
        <f t="shared" si="20"/>
        <v>1</v>
      </c>
      <c r="N292" s="9" t="s">
        <v>177</v>
      </c>
      <c r="O292" s="7">
        <v>0</v>
      </c>
      <c r="P292" s="9" t="s">
        <v>63</v>
      </c>
      <c r="Q292" s="7" t="s">
        <v>38</v>
      </c>
      <c r="R292" s="7" t="s">
        <v>38</v>
      </c>
      <c r="S292" s="10" t="s">
        <v>1656</v>
      </c>
      <c r="T292" s="7">
        <v>15</v>
      </c>
      <c r="U292" s="7">
        <v>15</v>
      </c>
      <c r="V292" s="7">
        <v>140</v>
      </c>
      <c r="W292" s="7" t="s">
        <v>335</v>
      </c>
      <c r="X292" s="7"/>
      <c r="Y292" s="7"/>
      <c r="Z292" s="7"/>
      <c r="AA292" s="7"/>
      <c r="AB292" s="7">
        <f t="shared" si="23"/>
        <v>5</v>
      </c>
      <c r="AC292" s="7">
        <f t="shared" si="21"/>
        <v>5</v>
      </c>
      <c r="AD292" s="7"/>
      <c r="AE292" s="7"/>
      <c r="AF292" s="7"/>
      <c r="AG292" s="7"/>
      <c r="AH292" s="7"/>
      <c r="AI292" s="7"/>
      <c r="AJ292" s="7"/>
      <c r="AK292" s="7"/>
      <c r="AL292" s="9"/>
      <c r="AM292" s="7" t="s">
        <v>137</v>
      </c>
      <c r="AN292" s="7" t="s">
        <v>2848</v>
      </c>
      <c r="AO292" s="7"/>
    </row>
    <row r="293" spans="1:41" s="11" customFormat="1" x14ac:dyDescent="0.25">
      <c r="A293" s="2">
        <v>292</v>
      </c>
      <c r="B293" s="7" t="s">
        <v>296</v>
      </c>
      <c r="C293" s="7" t="s">
        <v>100</v>
      </c>
      <c r="D293" s="7">
        <v>4</v>
      </c>
      <c r="E293" s="7">
        <v>4</v>
      </c>
      <c r="F293" s="8">
        <v>1</v>
      </c>
      <c r="G293" s="8">
        <v>1</v>
      </c>
      <c r="H293" s="7">
        <v>1</v>
      </c>
      <c r="I293" s="7">
        <v>1</v>
      </c>
      <c r="J293" s="7" t="s">
        <v>176</v>
      </c>
      <c r="K293" s="7">
        <v>2</v>
      </c>
      <c r="L293" s="7" t="s">
        <v>52</v>
      </c>
      <c r="M293" s="7">
        <f t="shared" si="20"/>
        <v>1</v>
      </c>
      <c r="N293" s="9" t="s">
        <v>177</v>
      </c>
      <c r="O293" s="7">
        <v>0</v>
      </c>
      <c r="P293" s="9" t="s">
        <v>63</v>
      </c>
      <c r="Q293" s="7" t="s">
        <v>38</v>
      </c>
      <c r="R293" s="7" t="s">
        <v>38</v>
      </c>
      <c r="S293" s="10" t="s">
        <v>1657</v>
      </c>
      <c r="T293" s="7"/>
      <c r="U293" s="7"/>
      <c r="V293" s="7"/>
      <c r="W293" s="7"/>
      <c r="X293" s="7">
        <v>3</v>
      </c>
      <c r="Y293" s="7"/>
      <c r="Z293" s="7"/>
      <c r="AA293" s="7"/>
      <c r="AB293" s="7">
        <f t="shared" si="23"/>
        <v>1</v>
      </c>
      <c r="AC293" s="7">
        <f t="shared" si="21"/>
        <v>1</v>
      </c>
      <c r="AD293" s="7"/>
      <c r="AE293" s="7"/>
      <c r="AF293" s="7"/>
      <c r="AG293" s="7"/>
      <c r="AH293" s="7"/>
      <c r="AI293" s="7"/>
      <c r="AJ293" s="7"/>
      <c r="AK293" s="7"/>
      <c r="AL293" s="9"/>
      <c r="AM293" s="7" t="s">
        <v>71</v>
      </c>
      <c r="AN293" s="7" t="s">
        <v>71</v>
      </c>
      <c r="AO293" s="12"/>
    </row>
    <row r="294" spans="1:41" s="11" customFormat="1" x14ac:dyDescent="0.25">
      <c r="A294" s="2">
        <v>293</v>
      </c>
      <c r="B294" s="7" t="s">
        <v>296</v>
      </c>
      <c r="C294" s="7" t="s">
        <v>50</v>
      </c>
      <c r="D294" s="7">
        <v>3</v>
      </c>
      <c r="E294" s="7">
        <v>3</v>
      </c>
      <c r="F294" s="8">
        <v>1</v>
      </c>
      <c r="G294" s="8">
        <v>1</v>
      </c>
      <c r="H294" s="7">
        <v>1</v>
      </c>
      <c r="I294" s="7">
        <v>1</v>
      </c>
      <c r="J294" s="7" t="s">
        <v>176</v>
      </c>
      <c r="K294" s="7">
        <v>2</v>
      </c>
      <c r="L294" s="7" t="s">
        <v>52</v>
      </c>
      <c r="M294" s="7">
        <f t="shared" si="20"/>
        <v>1</v>
      </c>
      <c r="N294" s="9"/>
      <c r="O294" s="7">
        <v>0</v>
      </c>
      <c r="P294" s="9"/>
      <c r="Q294" s="7" t="s">
        <v>38</v>
      </c>
      <c r="R294" s="7"/>
      <c r="S294" s="10" t="s">
        <v>1658</v>
      </c>
      <c r="T294" s="7"/>
      <c r="U294" s="7"/>
      <c r="V294" s="7"/>
      <c r="W294" s="7"/>
      <c r="X294" s="7"/>
      <c r="Y294" s="7" t="s">
        <v>92</v>
      </c>
      <c r="Z294" s="7">
        <v>3</v>
      </c>
      <c r="AA294" s="7" t="s">
        <v>76</v>
      </c>
      <c r="AB294" s="7">
        <f t="shared" si="23"/>
        <v>1</v>
      </c>
      <c r="AC294" s="7">
        <f t="shared" si="21"/>
        <v>1</v>
      </c>
      <c r="AD294" s="7"/>
      <c r="AE294" s="7"/>
      <c r="AF294" s="7"/>
      <c r="AG294" s="7"/>
      <c r="AH294" s="7"/>
      <c r="AI294" s="7" t="s">
        <v>336</v>
      </c>
      <c r="AJ294" s="7"/>
      <c r="AK294" s="7"/>
      <c r="AL294" s="9"/>
      <c r="AM294" s="7" t="s">
        <v>71</v>
      </c>
      <c r="AN294" s="7" t="s">
        <v>71</v>
      </c>
      <c r="AO294" s="7"/>
    </row>
    <row r="295" spans="1:41" s="11" customFormat="1" x14ac:dyDescent="0.25">
      <c r="A295" s="2">
        <v>294</v>
      </c>
      <c r="B295" s="7" t="s">
        <v>296</v>
      </c>
      <c r="C295" s="7" t="s">
        <v>50</v>
      </c>
      <c r="D295" s="7">
        <v>20</v>
      </c>
      <c r="E295" s="7">
        <v>20</v>
      </c>
      <c r="F295" s="8">
        <v>1</v>
      </c>
      <c r="G295" s="8">
        <v>1</v>
      </c>
      <c r="H295" s="7">
        <v>1</v>
      </c>
      <c r="I295" s="7">
        <v>1</v>
      </c>
      <c r="J295" s="7" t="s">
        <v>219</v>
      </c>
      <c r="K295" s="7">
        <v>5</v>
      </c>
      <c r="L295" s="7" t="s">
        <v>52</v>
      </c>
      <c r="M295" s="7">
        <f t="shared" si="20"/>
        <v>1</v>
      </c>
      <c r="N295" s="9" t="s">
        <v>34</v>
      </c>
      <c r="O295" s="7">
        <v>1</v>
      </c>
      <c r="P295" s="9" t="s">
        <v>34</v>
      </c>
      <c r="Q295" s="7" t="s">
        <v>38</v>
      </c>
      <c r="R295" s="7" t="s">
        <v>52</v>
      </c>
      <c r="S295" s="10" t="s">
        <v>1659</v>
      </c>
      <c r="T295" s="7"/>
      <c r="U295" s="7"/>
      <c r="V295" s="7"/>
      <c r="W295" s="7"/>
      <c r="X295" s="7"/>
      <c r="Y295" s="7" t="s">
        <v>92</v>
      </c>
      <c r="Z295" s="7">
        <v>3</v>
      </c>
      <c r="AA295" s="7" t="s">
        <v>76</v>
      </c>
      <c r="AB295" s="7">
        <f t="shared" si="23"/>
        <v>1</v>
      </c>
      <c r="AC295" s="7">
        <f t="shared" si="21"/>
        <v>1</v>
      </c>
      <c r="AD295" s="7"/>
      <c r="AE295" s="7"/>
      <c r="AF295" s="7"/>
      <c r="AG295" s="7"/>
      <c r="AH295" s="7"/>
      <c r="AI295" s="7"/>
      <c r="AJ295" s="7"/>
      <c r="AK295" s="7"/>
      <c r="AL295" s="9"/>
      <c r="AM295" s="7" t="s">
        <v>71</v>
      </c>
      <c r="AN295" s="7" t="s">
        <v>71</v>
      </c>
      <c r="AO295" s="12"/>
    </row>
    <row r="296" spans="1:41" s="11" customFormat="1" x14ac:dyDescent="0.25">
      <c r="A296" s="2">
        <v>295</v>
      </c>
      <c r="B296" s="7" t="s">
        <v>296</v>
      </c>
      <c r="C296" s="7" t="s">
        <v>50</v>
      </c>
      <c r="D296" s="7">
        <v>14</v>
      </c>
      <c r="E296" s="7">
        <v>14</v>
      </c>
      <c r="F296" s="8">
        <v>1</v>
      </c>
      <c r="G296" s="8">
        <v>1</v>
      </c>
      <c r="H296" s="7">
        <v>1</v>
      </c>
      <c r="I296" s="7">
        <v>1</v>
      </c>
      <c r="J296" s="7" t="s">
        <v>219</v>
      </c>
      <c r="K296" s="7">
        <v>5</v>
      </c>
      <c r="L296" s="7" t="s">
        <v>52</v>
      </c>
      <c r="M296" s="7">
        <f t="shared" si="20"/>
        <v>1</v>
      </c>
      <c r="N296" s="9" t="s">
        <v>34</v>
      </c>
      <c r="O296" s="7">
        <v>3</v>
      </c>
      <c r="P296" s="9" t="s">
        <v>63</v>
      </c>
      <c r="Q296" s="7" t="s">
        <v>38</v>
      </c>
      <c r="R296" s="7" t="s">
        <v>38</v>
      </c>
      <c r="S296" s="10" t="s">
        <v>1660</v>
      </c>
      <c r="T296" s="7"/>
      <c r="U296" s="7"/>
      <c r="V296" s="7"/>
      <c r="W296" s="7"/>
      <c r="X296" s="7"/>
      <c r="Y296" s="7">
        <v>9</v>
      </c>
      <c r="Z296" s="7">
        <v>9</v>
      </c>
      <c r="AA296" s="7">
        <v>150</v>
      </c>
      <c r="AB296" s="7">
        <f t="shared" si="23"/>
        <v>3</v>
      </c>
      <c r="AC296" s="7">
        <f t="shared" si="21"/>
        <v>3</v>
      </c>
      <c r="AD296" s="7"/>
      <c r="AE296" s="7"/>
      <c r="AF296" s="7"/>
      <c r="AG296" s="7"/>
      <c r="AH296" s="7"/>
      <c r="AI296" s="7"/>
      <c r="AJ296" s="7"/>
      <c r="AK296" s="7"/>
      <c r="AL296" s="9"/>
      <c r="AM296" s="7" t="s">
        <v>71</v>
      </c>
      <c r="AN296" s="7" t="s">
        <v>71</v>
      </c>
      <c r="AO296" s="12"/>
    </row>
    <row r="297" spans="1:41" s="11" customFormat="1" x14ac:dyDescent="0.25">
      <c r="A297" s="2">
        <v>296</v>
      </c>
      <c r="B297" s="7" t="s">
        <v>296</v>
      </c>
      <c r="C297" s="7" t="s">
        <v>100</v>
      </c>
      <c r="D297" s="7">
        <v>21</v>
      </c>
      <c r="E297" s="7">
        <v>21</v>
      </c>
      <c r="F297" s="8">
        <v>1</v>
      </c>
      <c r="G297" s="8">
        <v>1</v>
      </c>
      <c r="H297" s="7">
        <v>1</v>
      </c>
      <c r="I297" s="7">
        <v>1</v>
      </c>
      <c r="J297" s="7" t="s">
        <v>219</v>
      </c>
      <c r="K297" s="7" t="s">
        <v>337</v>
      </c>
      <c r="L297" s="7" t="s">
        <v>52</v>
      </c>
      <c r="M297" s="7">
        <f t="shared" si="20"/>
        <v>1</v>
      </c>
      <c r="N297" s="9" t="s">
        <v>82</v>
      </c>
      <c r="O297" s="7">
        <v>0</v>
      </c>
      <c r="P297" s="9" t="s">
        <v>63</v>
      </c>
      <c r="Q297" s="7" t="s">
        <v>38</v>
      </c>
      <c r="R297" s="7" t="s">
        <v>38</v>
      </c>
      <c r="S297" s="10" t="s">
        <v>1661</v>
      </c>
      <c r="T297" s="7"/>
      <c r="U297" s="7"/>
      <c r="V297" s="7"/>
      <c r="W297" s="7"/>
      <c r="X297" s="7">
        <v>3</v>
      </c>
      <c r="Y297" s="7"/>
      <c r="Z297" s="7"/>
      <c r="AA297" s="7"/>
      <c r="AB297" s="7">
        <f t="shared" si="23"/>
        <v>1</v>
      </c>
      <c r="AC297" s="7">
        <f t="shared" si="21"/>
        <v>1</v>
      </c>
      <c r="AD297" s="7"/>
      <c r="AE297" s="7"/>
      <c r="AF297" s="7"/>
      <c r="AG297" s="7"/>
      <c r="AH297" s="7"/>
      <c r="AI297" s="7"/>
      <c r="AJ297" s="7"/>
      <c r="AK297" s="7"/>
      <c r="AL297" s="9"/>
      <c r="AM297" s="7" t="s">
        <v>71</v>
      </c>
      <c r="AN297" s="7" t="s">
        <v>71</v>
      </c>
      <c r="AO297" s="10" t="s">
        <v>2534</v>
      </c>
    </row>
    <row r="298" spans="1:41" s="11" customFormat="1" x14ac:dyDescent="0.25">
      <c r="A298" s="2">
        <v>297</v>
      </c>
      <c r="B298" s="7" t="s">
        <v>296</v>
      </c>
      <c r="C298" s="7" t="s">
        <v>100</v>
      </c>
      <c r="D298" s="7">
        <v>22</v>
      </c>
      <c r="E298" s="7">
        <v>22</v>
      </c>
      <c r="F298" s="8">
        <v>1</v>
      </c>
      <c r="G298" s="8">
        <v>1</v>
      </c>
      <c r="H298" s="7">
        <v>1</v>
      </c>
      <c r="I298" s="7">
        <v>1</v>
      </c>
      <c r="J298" s="7" t="s">
        <v>219</v>
      </c>
      <c r="K298" s="7">
        <v>3</v>
      </c>
      <c r="L298" s="7" t="s">
        <v>52</v>
      </c>
      <c r="M298" s="7">
        <f t="shared" si="20"/>
        <v>1</v>
      </c>
      <c r="N298" s="9" t="s">
        <v>34</v>
      </c>
      <c r="O298" s="7">
        <v>2</v>
      </c>
      <c r="P298" s="9" t="s">
        <v>63</v>
      </c>
      <c r="Q298" s="7" t="s">
        <v>38</v>
      </c>
      <c r="R298" s="7" t="s">
        <v>38</v>
      </c>
      <c r="S298" s="10" t="s">
        <v>1662</v>
      </c>
      <c r="T298" s="7"/>
      <c r="U298" s="7"/>
      <c r="V298" s="7"/>
      <c r="W298" s="7"/>
      <c r="X298" s="7">
        <v>3</v>
      </c>
      <c r="Y298" s="7"/>
      <c r="Z298" s="7"/>
      <c r="AA298" s="7"/>
      <c r="AB298" s="7">
        <f t="shared" si="23"/>
        <v>1</v>
      </c>
      <c r="AC298" s="7">
        <f t="shared" si="21"/>
        <v>1</v>
      </c>
      <c r="AD298" s="7"/>
      <c r="AE298" s="7"/>
      <c r="AF298" s="7"/>
      <c r="AG298" s="7"/>
      <c r="AH298" s="7"/>
      <c r="AI298" s="7"/>
      <c r="AJ298" s="7"/>
      <c r="AK298" s="7"/>
      <c r="AL298" s="9"/>
      <c r="AM298" s="7" t="s">
        <v>71</v>
      </c>
      <c r="AN298" s="7" t="s">
        <v>71</v>
      </c>
      <c r="AO298" s="12"/>
    </row>
    <row r="299" spans="1:41" s="11" customFormat="1" x14ac:dyDescent="0.25">
      <c r="A299" s="2">
        <v>298</v>
      </c>
      <c r="B299" s="7" t="s">
        <v>338</v>
      </c>
      <c r="C299" s="7" t="s">
        <v>50</v>
      </c>
      <c r="D299" s="7">
        <v>94</v>
      </c>
      <c r="E299" s="7">
        <v>94</v>
      </c>
      <c r="F299" s="8">
        <v>1</v>
      </c>
      <c r="G299" s="8">
        <v>1</v>
      </c>
      <c r="H299" s="7">
        <v>1</v>
      </c>
      <c r="I299" s="7">
        <v>1</v>
      </c>
      <c r="J299" s="7" t="s">
        <v>35</v>
      </c>
      <c r="K299" s="7">
        <v>2</v>
      </c>
      <c r="L299" s="7" t="s">
        <v>52</v>
      </c>
      <c r="M299" s="7">
        <f t="shared" si="20"/>
        <v>1</v>
      </c>
      <c r="N299" s="9" t="s">
        <v>34</v>
      </c>
      <c r="O299" s="7">
        <v>0</v>
      </c>
      <c r="P299" s="9" t="s">
        <v>33</v>
      </c>
      <c r="Q299" s="7" t="s">
        <v>38</v>
      </c>
      <c r="R299" s="7" t="s">
        <v>38</v>
      </c>
      <c r="S299" s="10" t="s">
        <v>1596</v>
      </c>
      <c r="T299" s="7"/>
      <c r="U299" s="7"/>
      <c r="V299" s="7"/>
      <c r="W299" s="7"/>
      <c r="X299" s="7"/>
      <c r="Y299" s="7">
        <v>95</v>
      </c>
      <c r="Z299" s="7">
        <v>95</v>
      </c>
      <c r="AA299" s="7">
        <v>705</v>
      </c>
      <c r="AB299" s="7">
        <f t="shared" si="23"/>
        <v>31.666666666666668</v>
      </c>
      <c r="AC299" s="7">
        <f t="shared" si="21"/>
        <v>31.666666666666668</v>
      </c>
      <c r="AD299" s="7"/>
      <c r="AE299" s="7"/>
      <c r="AF299" s="7"/>
      <c r="AG299" s="7"/>
      <c r="AH299" s="7"/>
      <c r="AI299" s="7"/>
      <c r="AJ299" s="10" t="s">
        <v>2342</v>
      </c>
      <c r="AK299" s="7"/>
      <c r="AL299" s="9"/>
      <c r="AM299" s="7" t="s">
        <v>71</v>
      </c>
      <c r="AN299" s="7" t="s">
        <v>71</v>
      </c>
      <c r="AO299" s="7"/>
    </row>
    <row r="300" spans="1:41" s="11" customFormat="1" x14ac:dyDescent="0.25">
      <c r="A300" s="2">
        <v>299</v>
      </c>
      <c r="B300" s="7" t="s">
        <v>338</v>
      </c>
      <c r="C300" s="7" t="s">
        <v>78</v>
      </c>
      <c r="D300" s="7">
        <v>10</v>
      </c>
      <c r="E300" s="7">
        <v>10</v>
      </c>
      <c r="F300" s="8">
        <v>1</v>
      </c>
      <c r="G300" s="8">
        <v>1</v>
      </c>
      <c r="H300" s="7">
        <v>1</v>
      </c>
      <c r="I300" s="7">
        <v>1</v>
      </c>
      <c r="J300" s="7" t="s">
        <v>35</v>
      </c>
      <c r="K300" s="7">
        <v>1</v>
      </c>
      <c r="L300" s="7" t="s">
        <v>52</v>
      </c>
      <c r="M300" s="7">
        <f t="shared" si="20"/>
        <v>1</v>
      </c>
      <c r="N300" s="9" t="s">
        <v>34</v>
      </c>
      <c r="O300" s="7">
        <v>0</v>
      </c>
      <c r="P300" s="9" t="s">
        <v>34</v>
      </c>
      <c r="Q300" s="7" t="s">
        <v>38</v>
      </c>
      <c r="R300" s="7" t="s">
        <v>38</v>
      </c>
      <c r="S300" s="10" t="s">
        <v>1663</v>
      </c>
      <c r="T300" s="7">
        <v>10</v>
      </c>
      <c r="U300" s="7">
        <v>10</v>
      </c>
      <c r="V300" s="7">
        <v>150</v>
      </c>
      <c r="W300" s="7" t="s">
        <v>79</v>
      </c>
      <c r="X300" s="7"/>
      <c r="Y300" s="7"/>
      <c r="Z300" s="7"/>
      <c r="AA300" s="7"/>
      <c r="AB300" s="7">
        <f t="shared" si="23"/>
        <v>3.3333333333333335</v>
      </c>
      <c r="AC300" s="7">
        <f t="shared" si="21"/>
        <v>3.3333333333333335</v>
      </c>
      <c r="AD300" s="7"/>
      <c r="AE300" s="7">
        <v>1</v>
      </c>
      <c r="AF300" s="7"/>
      <c r="AG300" s="7" t="s">
        <v>339</v>
      </c>
      <c r="AH300" s="7"/>
      <c r="AI300" s="7"/>
      <c r="AJ300" s="7"/>
      <c r="AK300" s="7"/>
      <c r="AL300" s="9"/>
      <c r="AM300" s="7" t="s">
        <v>340</v>
      </c>
      <c r="AN300" s="7" t="s">
        <v>2848</v>
      </c>
      <c r="AO300" s="7"/>
    </row>
    <row r="301" spans="1:41" s="11" customFormat="1" x14ac:dyDescent="0.25">
      <c r="A301" s="2">
        <v>300</v>
      </c>
      <c r="B301" s="7" t="s">
        <v>338</v>
      </c>
      <c r="C301" s="7" t="s">
        <v>78</v>
      </c>
      <c r="D301" s="7" t="s">
        <v>341</v>
      </c>
      <c r="E301" s="7">
        <v>7</v>
      </c>
      <c r="F301" s="8">
        <v>1</v>
      </c>
      <c r="G301" s="8">
        <v>3</v>
      </c>
      <c r="H301" s="7">
        <v>3</v>
      </c>
      <c r="I301" s="7">
        <v>3</v>
      </c>
      <c r="J301" s="7" t="s">
        <v>35</v>
      </c>
      <c r="K301" s="7">
        <v>1</v>
      </c>
      <c r="L301" s="7" t="s">
        <v>52</v>
      </c>
      <c r="M301" s="7">
        <f t="shared" si="20"/>
        <v>1</v>
      </c>
      <c r="N301" s="9" t="s">
        <v>34</v>
      </c>
      <c r="O301" s="7">
        <v>2</v>
      </c>
      <c r="P301" s="9" t="s">
        <v>33</v>
      </c>
      <c r="Q301" s="7" t="s">
        <v>38</v>
      </c>
      <c r="R301" s="7" t="s">
        <v>38</v>
      </c>
      <c r="S301" s="7"/>
      <c r="T301" s="7">
        <v>11</v>
      </c>
      <c r="U301" s="7">
        <v>11</v>
      </c>
      <c r="V301" s="7">
        <v>90</v>
      </c>
      <c r="W301" s="7" t="s">
        <v>88</v>
      </c>
      <c r="X301" s="7"/>
      <c r="Y301" s="7"/>
      <c r="Z301" s="7"/>
      <c r="AA301" s="7"/>
      <c r="AB301" s="7">
        <f t="shared" si="23"/>
        <v>3.6666666666666665</v>
      </c>
      <c r="AC301" s="7">
        <f t="shared" si="21"/>
        <v>3.6666666666666665</v>
      </c>
      <c r="AD301" s="7"/>
      <c r="AE301" s="7"/>
      <c r="AF301" s="7"/>
      <c r="AG301" s="7"/>
      <c r="AH301" s="7"/>
      <c r="AI301" s="7"/>
      <c r="AJ301" s="7"/>
      <c r="AK301" s="7"/>
      <c r="AL301" s="9"/>
      <c r="AM301" s="7" t="s">
        <v>42</v>
      </c>
      <c r="AN301" s="7" t="s">
        <v>42</v>
      </c>
      <c r="AO301" s="7"/>
    </row>
    <row r="302" spans="1:41" s="11" customFormat="1" x14ac:dyDescent="0.25">
      <c r="A302" s="2">
        <v>301</v>
      </c>
      <c r="B302" s="7" t="s">
        <v>338</v>
      </c>
      <c r="C302" s="7" t="s">
        <v>78</v>
      </c>
      <c r="D302" s="7">
        <v>4</v>
      </c>
      <c r="E302" s="7">
        <v>4</v>
      </c>
      <c r="F302" s="8">
        <v>1</v>
      </c>
      <c r="G302" s="8">
        <v>1</v>
      </c>
      <c r="H302" s="7">
        <v>1</v>
      </c>
      <c r="I302" s="7">
        <v>1</v>
      </c>
      <c r="J302" s="7" t="s">
        <v>35</v>
      </c>
      <c r="K302" s="7">
        <v>1</v>
      </c>
      <c r="L302" s="7" t="s">
        <v>52</v>
      </c>
      <c r="M302" s="7">
        <f t="shared" si="20"/>
        <v>1</v>
      </c>
      <c r="N302" s="9" t="s">
        <v>34</v>
      </c>
      <c r="O302" s="7">
        <v>1</v>
      </c>
      <c r="P302" s="9" t="s">
        <v>63</v>
      </c>
      <c r="Q302" s="7" t="s">
        <v>38</v>
      </c>
      <c r="R302" s="7" t="s">
        <v>38</v>
      </c>
      <c r="S302" s="7"/>
      <c r="T302" s="7" t="s">
        <v>92</v>
      </c>
      <c r="U302" s="7">
        <v>3</v>
      </c>
      <c r="V302" s="7" t="s">
        <v>199</v>
      </c>
      <c r="W302" s="7" t="s">
        <v>88</v>
      </c>
      <c r="X302" s="7"/>
      <c r="Y302" s="7"/>
      <c r="Z302" s="7"/>
      <c r="AA302" s="7"/>
      <c r="AB302" s="7">
        <f t="shared" si="23"/>
        <v>1</v>
      </c>
      <c r="AC302" s="7">
        <f t="shared" si="21"/>
        <v>1</v>
      </c>
      <c r="AD302" s="7"/>
      <c r="AE302" s="7"/>
      <c r="AF302" s="7"/>
      <c r="AG302" s="7"/>
      <c r="AH302" s="7"/>
      <c r="AI302" s="7"/>
      <c r="AJ302" s="7"/>
      <c r="AK302" s="7"/>
      <c r="AL302" s="9"/>
      <c r="AM302" s="7" t="s">
        <v>71</v>
      </c>
      <c r="AN302" s="7" t="s">
        <v>71</v>
      </c>
      <c r="AO302" s="12"/>
    </row>
    <row r="303" spans="1:41" s="11" customFormat="1" x14ac:dyDescent="0.25">
      <c r="A303" s="2">
        <v>302</v>
      </c>
      <c r="B303" s="7" t="s">
        <v>338</v>
      </c>
      <c r="C303" s="7" t="s">
        <v>78</v>
      </c>
      <c r="D303" s="7">
        <v>1</v>
      </c>
      <c r="E303" s="7">
        <v>1</v>
      </c>
      <c r="F303" s="8">
        <v>1</v>
      </c>
      <c r="G303" s="8">
        <v>1</v>
      </c>
      <c r="H303" s="7">
        <v>1</v>
      </c>
      <c r="I303" s="7">
        <v>1</v>
      </c>
      <c r="J303" s="7" t="s">
        <v>35</v>
      </c>
      <c r="K303" s="7">
        <v>1</v>
      </c>
      <c r="L303" s="7" t="s">
        <v>52</v>
      </c>
      <c r="M303" s="7">
        <f t="shared" si="20"/>
        <v>1</v>
      </c>
      <c r="N303" s="9" t="s">
        <v>36</v>
      </c>
      <c r="O303" s="7">
        <v>0</v>
      </c>
      <c r="P303" s="9" t="s">
        <v>63</v>
      </c>
      <c r="Q303" s="7" t="s">
        <v>38</v>
      </c>
      <c r="R303" s="7" t="s">
        <v>38</v>
      </c>
      <c r="S303" s="7"/>
      <c r="T303" s="7">
        <v>13</v>
      </c>
      <c r="U303" s="7">
        <v>13</v>
      </c>
      <c r="V303" s="7">
        <v>60</v>
      </c>
      <c r="W303" s="7" t="s">
        <v>88</v>
      </c>
      <c r="X303" s="7"/>
      <c r="Y303" s="7"/>
      <c r="Z303" s="7"/>
      <c r="AA303" s="7"/>
      <c r="AB303" s="7">
        <f t="shared" si="23"/>
        <v>4.333333333333333</v>
      </c>
      <c r="AC303" s="7">
        <f t="shared" si="21"/>
        <v>4.333333333333333</v>
      </c>
      <c r="AD303" s="7"/>
      <c r="AE303" s="7"/>
      <c r="AF303" s="7"/>
      <c r="AG303" s="7"/>
      <c r="AH303" s="7"/>
      <c r="AI303" s="7"/>
      <c r="AJ303" s="7"/>
      <c r="AK303" s="7"/>
      <c r="AL303" s="9"/>
      <c r="AM303" s="7" t="s">
        <v>42</v>
      </c>
      <c r="AN303" s="7" t="s">
        <v>42</v>
      </c>
      <c r="AO303" s="7"/>
    </row>
    <row r="304" spans="1:41" s="11" customFormat="1" ht="24" x14ac:dyDescent="0.25">
      <c r="A304" s="2">
        <v>303</v>
      </c>
      <c r="B304" s="7" t="s">
        <v>338</v>
      </c>
      <c r="C304" s="7" t="s">
        <v>100</v>
      </c>
      <c r="D304" s="7">
        <v>10</v>
      </c>
      <c r="E304" s="7">
        <v>10</v>
      </c>
      <c r="F304" s="8">
        <v>1</v>
      </c>
      <c r="G304" s="8">
        <v>1</v>
      </c>
      <c r="H304" s="7">
        <v>1</v>
      </c>
      <c r="I304" s="7">
        <v>1</v>
      </c>
      <c r="J304" s="7" t="s">
        <v>35</v>
      </c>
      <c r="K304" s="7">
        <v>1</v>
      </c>
      <c r="L304" s="7" t="s">
        <v>52</v>
      </c>
      <c r="M304" s="7">
        <f t="shared" si="20"/>
        <v>1</v>
      </c>
      <c r="N304" s="9" t="s">
        <v>34</v>
      </c>
      <c r="O304" s="7">
        <v>0</v>
      </c>
      <c r="P304" s="9" t="s">
        <v>63</v>
      </c>
      <c r="Q304" s="7" t="s">
        <v>38</v>
      </c>
      <c r="R304" s="7" t="s">
        <v>38</v>
      </c>
      <c r="S304" s="10" t="s">
        <v>1664</v>
      </c>
      <c r="T304" s="7"/>
      <c r="U304" s="7"/>
      <c r="V304" s="7"/>
      <c r="W304" s="7"/>
      <c r="X304" s="7">
        <v>5</v>
      </c>
      <c r="Y304" s="7"/>
      <c r="Z304" s="7"/>
      <c r="AA304" s="7"/>
      <c r="AB304" s="7">
        <f t="shared" si="23"/>
        <v>1.6666666666666667</v>
      </c>
      <c r="AC304" s="7">
        <f t="shared" si="21"/>
        <v>1.6666666666666667</v>
      </c>
      <c r="AD304" s="7"/>
      <c r="AE304" s="7"/>
      <c r="AF304" s="7"/>
      <c r="AG304" s="7"/>
      <c r="AH304" s="7"/>
      <c r="AI304" s="7"/>
      <c r="AJ304" s="7"/>
      <c r="AK304" s="10" t="s">
        <v>2438</v>
      </c>
      <c r="AL304" s="9"/>
      <c r="AM304" s="7" t="s">
        <v>42</v>
      </c>
      <c r="AN304" s="7" t="s">
        <v>42</v>
      </c>
      <c r="AO304" s="7"/>
    </row>
    <row r="305" spans="1:41" s="11" customFormat="1" x14ac:dyDescent="0.25">
      <c r="A305" s="2">
        <v>304</v>
      </c>
      <c r="B305" s="7" t="s">
        <v>338</v>
      </c>
      <c r="C305" s="7" t="s">
        <v>104</v>
      </c>
      <c r="D305" s="7">
        <v>7</v>
      </c>
      <c r="E305" s="7">
        <v>7</v>
      </c>
      <c r="F305" s="8">
        <v>1</v>
      </c>
      <c r="G305" s="8">
        <v>1</v>
      </c>
      <c r="H305" s="7">
        <v>1</v>
      </c>
      <c r="I305" s="7">
        <v>1</v>
      </c>
      <c r="J305" s="7" t="s">
        <v>35</v>
      </c>
      <c r="K305" s="7">
        <v>1</v>
      </c>
      <c r="L305" s="7" t="s">
        <v>52</v>
      </c>
      <c r="M305" s="7">
        <f t="shared" si="20"/>
        <v>1</v>
      </c>
      <c r="N305" s="9" t="s">
        <v>34</v>
      </c>
      <c r="O305" s="7">
        <v>0</v>
      </c>
      <c r="P305" s="9" t="s">
        <v>63</v>
      </c>
      <c r="Q305" s="7" t="s">
        <v>38</v>
      </c>
      <c r="R305" s="7" t="s">
        <v>38</v>
      </c>
      <c r="S305" s="7"/>
      <c r="T305" s="7"/>
      <c r="U305" s="7"/>
      <c r="V305" s="7"/>
      <c r="W305" s="7"/>
      <c r="X305" s="7">
        <v>3</v>
      </c>
      <c r="Y305" s="7"/>
      <c r="Z305" s="7"/>
      <c r="AA305" s="7"/>
      <c r="AB305" s="7">
        <f t="shared" si="23"/>
        <v>1</v>
      </c>
      <c r="AC305" s="7">
        <f t="shared" si="21"/>
        <v>1</v>
      </c>
      <c r="AD305" s="7"/>
      <c r="AE305" s="7">
        <v>1</v>
      </c>
      <c r="AF305" s="7"/>
      <c r="AG305" s="7" t="s">
        <v>342</v>
      </c>
      <c r="AH305" s="7"/>
      <c r="AI305" s="7"/>
      <c r="AJ305" s="7"/>
      <c r="AK305" s="7"/>
      <c r="AL305" s="9"/>
      <c r="AM305" s="7" t="s">
        <v>71</v>
      </c>
      <c r="AN305" s="7" t="s">
        <v>71</v>
      </c>
      <c r="AO305" s="12"/>
    </row>
    <row r="306" spans="1:41" s="11" customFormat="1" x14ac:dyDescent="0.25">
      <c r="A306" s="2">
        <v>305</v>
      </c>
      <c r="B306" s="7" t="s">
        <v>338</v>
      </c>
      <c r="C306" s="7" t="s">
        <v>89</v>
      </c>
      <c r="D306" s="7" t="s">
        <v>343</v>
      </c>
      <c r="E306" s="7">
        <f>28+9</f>
        <v>37</v>
      </c>
      <c r="F306" s="8">
        <v>7</v>
      </c>
      <c r="G306" s="8">
        <v>8</v>
      </c>
      <c r="H306" s="7" t="s">
        <v>258</v>
      </c>
      <c r="I306" s="7">
        <v>8</v>
      </c>
      <c r="J306" s="7" t="s">
        <v>35</v>
      </c>
      <c r="K306" s="7">
        <v>1</v>
      </c>
      <c r="L306" s="7" t="s">
        <v>52</v>
      </c>
      <c r="M306" s="7">
        <f t="shared" si="20"/>
        <v>7</v>
      </c>
      <c r="N306" s="9" t="s">
        <v>34</v>
      </c>
      <c r="O306" s="7">
        <v>1</v>
      </c>
      <c r="P306" s="9" t="s">
        <v>33</v>
      </c>
      <c r="Q306" s="7" t="s">
        <v>38</v>
      </c>
      <c r="R306" s="7" t="s">
        <v>38</v>
      </c>
      <c r="S306" s="7"/>
      <c r="T306" s="7"/>
      <c r="U306" s="7"/>
      <c r="V306" s="7"/>
      <c r="W306" s="7"/>
      <c r="X306" s="7">
        <v>3</v>
      </c>
      <c r="Y306" s="7"/>
      <c r="Z306" s="7"/>
      <c r="AA306" s="7"/>
      <c r="AB306" s="7">
        <f t="shared" si="23"/>
        <v>1</v>
      </c>
      <c r="AC306" s="7">
        <f t="shared" si="21"/>
        <v>1</v>
      </c>
      <c r="AD306" s="7"/>
      <c r="AE306" s="7"/>
      <c r="AF306" s="7"/>
      <c r="AG306" s="7"/>
      <c r="AH306" s="7"/>
      <c r="AI306" s="7"/>
      <c r="AJ306" s="7"/>
      <c r="AK306" s="7"/>
      <c r="AL306" s="9"/>
      <c r="AM306" s="7" t="s">
        <v>71</v>
      </c>
      <c r="AN306" s="7" t="s">
        <v>71</v>
      </c>
      <c r="AO306" s="12"/>
    </row>
    <row r="307" spans="1:41" s="11" customFormat="1" x14ac:dyDescent="0.25">
      <c r="A307" s="2">
        <v>306</v>
      </c>
      <c r="B307" s="7" t="s">
        <v>338</v>
      </c>
      <c r="C307" s="7" t="s">
        <v>100</v>
      </c>
      <c r="D307" s="7">
        <v>4</v>
      </c>
      <c r="E307" s="7">
        <v>4</v>
      </c>
      <c r="F307" s="8">
        <v>1</v>
      </c>
      <c r="G307" s="8">
        <v>1</v>
      </c>
      <c r="H307" s="7">
        <v>1</v>
      </c>
      <c r="I307" s="7">
        <v>1</v>
      </c>
      <c r="J307" s="7" t="s">
        <v>35</v>
      </c>
      <c r="K307" s="7">
        <v>1</v>
      </c>
      <c r="L307" s="7" t="s">
        <v>52</v>
      </c>
      <c r="M307" s="7">
        <f t="shared" si="20"/>
        <v>1</v>
      </c>
      <c r="N307" s="9" t="s">
        <v>36</v>
      </c>
      <c r="O307" s="7">
        <v>0</v>
      </c>
      <c r="P307" s="9" t="s">
        <v>37</v>
      </c>
      <c r="Q307" s="7" t="s">
        <v>38</v>
      </c>
      <c r="R307" s="7" t="s">
        <v>38</v>
      </c>
      <c r="S307" s="7"/>
      <c r="T307" s="7"/>
      <c r="U307" s="7"/>
      <c r="V307" s="7"/>
      <c r="W307" s="7"/>
      <c r="X307" s="7">
        <v>3</v>
      </c>
      <c r="Y307" s="7"/>
      <c r="Z307" s="7"/>
      <c r="AA307" s="7"/>
      <c r="AB307" s="7">
        <f t="shared" si="23"/>
        <v>1</v>
      </c>
      <c r="AC307" s="7">
        <f t="shared" si="21"/>
        <v>1</v>
      </c>
      <c r="AD307" s="7"/>
      <c r="AE307" s="7"/>
      <c r="AF307" s="7"/>
      <c r="AG307" s="7"/>
      <c r="AH307" s="7"/>
      <c r="AI307" s="7"/>
      <c r="AJ307" s="7"/>
      <c r="AK307" s="7"/>
      <c r="AL307" s="9"/>
      <c r="AM307" s="7" t="s">
        <v>71</v>
      </c>
      <c r="AN307" s="7" t="s">
        <v>71</v>
      </c>
      <c r="AO307" s="12"/>
    </row>
    <row r="308" spans="1:41" s="11" customFormat="1" x14ac:dyDescent="0.25">
      <c r="A308" s="2">
        <v>307</v>
      </c>
      <c r="B308" s="7" t="s">
        <v>338</v>
      </c>
      <c r="C308" s="7" t="s">
        <v>89</v>
      </c>
      <c r="D308" s="7" t="s">
        <v>195</v>
      </c>
      <c r="E308" s="7">
        <v>8</v>
      </c>
      <c r="F308" s="8">
        <v>2</v>
      </c>
      <c r="G308" s="8">
        <v>1</v>
      </c>
      <c r="H308" s="7">
        <v>1</v>
      </c>
      <c r="I308" s="7">
        <v>1</v>
      </c>
      <c r="J308" s="7" t="s">
        <v>35</v>
      </c>
      <c r="K308" s="7">
        <v>1</v>
      </c>
      <c r="L308" s="7" t="s">
        <v>52</v>
      </c>
      <c r="M308" s="7">
        <f t="shared" si="20"/>
        <v>2</v>
      </c>
      <c r="N308" s="9" t="s">
        <v>34</v>
      </c>
      <c r="O308" s="7">
        <v>0</v>
      </c>
      <c r="P308" s="9" t="s">
        <v>37</v>
      </c>
      <c r="Q308" s="7" t="s">
        <v>38</v>
      </c>
      <c r="R308" s="7" t="s">
        <v>38</v>
      </c>
      <c r="S308" s="7"/>
      <c r="T308" s="7"/>
      <c r="U308" s="7"/>
      <c r="V308" s="7"/>
      <c r="W308" s="7"/>
      <c r="X308" s="7">
        <v>3</v>
      </c>
      <c r="Y308" s="7"/>
      <c r="Z308" s="7"/>
      <c r="AA308" s="7"/>
      <c r="AB308" s="7">
        <f t="shared" si="23"/>
        <v>1</v>
      </c>
      <c r="AC308" s="7">
        <f t="shared" si="21"/>
        <v>1</v>
      </c>
      <c r="AD308" s="7"/>
      <c r="AE308" s="7"/>
      <c r="AF308" s="7"/>
      <c r="AG308" s="7"/>
      <c r="AH308" s="7"/>
      <c r="AI308" s="7"/>
      <c r="AJ308" s="7"/>
      <c r="AK308" s="7"/>
      <c r="AL308" s="9"/>
      <c r="AM308" s="7" t="s">
        <v>71</v>
      </c>
      <c r="AN308" s="7" t="s">
        <v>71</v>
      </c>
      <c r="AO308" s="12"/>
    </row>
    <row r="309" spans="1:41" s="11" customFormat="1" ht="24" x14ac:dyDescent="0.25">
      <c r="A309" s="2">
        <v>308</v>
      </c>
      <c r="B309" s="7" t="s">
        <v>338</v>
      </c>
      <c r="C309" s="7" t="s">
        <v>89</v>
      </c>
      <c r="D309" s="7" t="s">
        <v>344</v>
      </c>
      <c r="E309" s="7">
        <v>7</v>
      </c>
      <c r="F309" s="8">
        <v>4</v>
      </c>
      <c r="G309" s="8">
        <v>5</v>
      </c>
      <c r="H309" s="7" t="s">
        <v>345</v>
      </c>
      <c r="I309" s="7">
        <v>5</v>
      </c>
      <c r="J309" s="7" t="s">
        <v>35</v>
      </c>
      <c r="K309" s="7">
        <v>1</v>
      </c>
      <c r="L309" s="7" t="s">
        <v>52</v>
      </c>
      <c r="M309" s="7">
        <f t="shared" si="20"/>
        <v>4</v>
      </c>
      <c r="N309" s="9" t="s">
        <v>34</v>
      </c>
      <c r="O309" s="7">
        <v>0</v>
      </c>
      <c r="P309" s="9" t="s">
        <v>63</v>
      </c>
      <c r="Q309" s="7" t="s">
        <v>38</v>
      </c>
      <c r="R309" s="7" t="s">
        <v>38</v>
      </c>
      <c r="S309" s="10" t="s">
        <v>1665</v>
      </c>
      <c r="T309" s="7"/>
      <c r="U309" s="7"/>
      <c r="V309" s="7"/>
      <c r="W309" s="7"/>
      <c r="X309" s="7">
        <v>3</v>
      </c>
      <c r="Y309" s="7"/>
      <c r="Z309" s="7"/>
      <c r="AA309" s="7"/>
      <c r="AB309" s="7">
        <f t="shared" si="23"/>
        <v>1</v>
      </c>
      <c r="AC309" s="7">
        <f t="shared" si="21"/>
        <v>1</v>
      </c>
      <c r="AD309" s="7"/>
      <c r="AE309" s="7"/>
      <c r="AF309" s="7"/>
      <c r="AG309" s="7"/>
      <c r="AH309" s="7"/>
      <c r="AI309" s="7"/>
      <c r="AJ309" s="7"/>
      <c r="AK309" s="7"/>
      <c r="AL309" s="9"/>
      <c r="AM309" s="7" t="s">
        <v>71</v>
      </c>
      <c r="AN309" s="7" t="s">
        <v>71</v>
      </c>
      <c r="AO309" s="12"/>
    </row>
    <row r="310" spans="1:41" s="11" customFormat="1" x14ac:dyDescent="0.25">
      <c r="A310" s="2">
        <v>309</v>
      </c>
      <c r="B310" s="7" t="s">
        <v>338</v>
      </c>
      <c r="C310" s="7" t="s">
        <v>100</v>
      </c>
      <c r="D310" s="7">
        <v>4</v>
      </c>
      <c r="E310" s="7">
        <v>4</v>
      </c>
      <c r="F310" s="8">
        <v>1</v>
      </c>
      <c r="G310" s="8">
        <v>1</v>
      </c>
      <c r="H310" s="7">
        <v>1</v>
      </c>
      <c r="I310" s="7">
        <v>1</v>
      </c>
      <c r="J310" s="7" t="s">
        <v>35</v>
      </c>
      <c r="K310" s="7">
        <v>1</v>
      </c>
      <c r="L310" s="7" t="s">
        <v>52</v>
      </c>
      <c r="M310" s="7">
        <f t="shared" si="20"/>
        <v>1</v>
      </c>
      <c r="N310" s="9" t="s">
        <v>36</v>
      </c>
      <c r="O310" s="7">
        <v>0</v>
      </c>
      <c r="P310" s="9" t="s">
        <v>37</v>
      </c>
      <c r="Q310" s="7" t="s">
        <v>38</v>
      </c>
      <c r="R310" s="7" t="s">
        <v>38</v>
      </c>
      <c r="S310" s="10" t="s">
        <v>1666</v>
      </c>
      <c r="T310" s="7"/>
      <c r="U310" s="7"/>
      <c r="V310" s="7"/>
      <c r="W310" s="7"/>
      <c r="X310" s="7">
        <v>3</v>
      </c>
      <c r="Y310" s="7"/>
      <c r="Z310" s="7"/>
      <c r="AA310" s="7"/>
      <c r="AB310" s="7">
        <f t="shared" si="23"/>
        <v>1</v>
      </c>
      <c r="AC310" s="7">
        <f t="shared" si="21"/>
        <v>1</v>
      </c>
      <c r="AD310" s="7"/>
      <c r="AE310" s="7"/>
      <c r="AF310" s="7"/>
      <c r="AG310" s="7"/>
      <c r="AH310" s="7"/>
      <c r="AI310" s="7"/>
      <c r="AJ310" s="7"/>
      <c r="AK310" s="7"/>
      <c r="AL310" s="9"/>
      <c r="AM310" s="7" t="s">
        <v>71</v>
      </c>
      <c r="AN310" s="7" t="s">
        <v>71</v>
      </c>
      <c r="AO310" s="12"/>
    </row>
    <row r="311" spans="1:41" s="11" customFormat="1" x14ac:dyDescent="0.25">
      <c r="A311" s="2">
        <v>310</v>
      </c>
      <c r="B311" s="7" t="s">
        <v>338</v>
      </c>
      <c r="C311" s="7" t="s">
        <v>119</v>
      </c>
      <c r="D311" s="7">
        <v>2</v>
      </c>
      <c r="E311" s="7">
        <v>2</v>
      </c>
      <c r="F311" s="8">
        <v>1</v>
      </c>
      <c r="G311" s="8">
        <v>1</v>
      </c>
      <c r="H311" s="7">
        <v>1</v>
      </c>
      <c r="I311" s="7">
        <v>1</v>
      </c>
      <c r="J311" s="7" t="s">
        <v>346</v>
      </c>
      <c r="K311" s="7">
        <v>2</v>
      </c>
      <c r="L311" s="7" t="s">
        <v>52</v>
      </c>
      <c r="M311" s="7">
        <f t="shared" si="20"/>
        <v>1</v>
      </c>
      <c r="N311" s="9" t="s">
        <v>34</v>
      </c>
      <c r="O311" s="7">
        <v>0</v>
      </c>
      <c r="P311" s="9" t="s">
        <v>63</v>
      </c>
      <c r="Q311" s="7"/>
      <c r="R311" s="7" t="s">
        <v>38</v>
      </c>
      <c r="S311" s="10" t="s">
        <v>1667</v>
      </c>
      <c r="T311" s="7"/>
      <c r="U311" s="7"/>
      <c r="V311" s="7"/>
      <c r="W311" s="7"/>
      <c r="X311" s="7"/>
      <c r="Y311" s="7"/>
      <c r="Z311" s="7"/>
      <c r="AA311" s="7"/>
      <c r="AB311" s="7">
        <v>0.33333333333333298</v>
      </c>
      <c r="AC311" s="7">
        <f t="shared" si="21"/>
        <v>0.33333333333333298</v>
      </c>
      <c r="AD311" s="7"/>
      <c r="AE311" s="7"/>
      <c r="AF311" s="7" t="s">
        <v>40</v>
      </c>
      <c r="AG311" s="7" t="s">
        <v>247</v>
      </c>
      <c r="AH311" s="7"/>
      <c r="AI311" s="7"/>
      <c r="AJ311" s="7"/>
      <c r="AK311" s="7"/>
      <c r="AL311" s="9"/>
      <c r="AM311" s="7" t="s">
        <v>71</v>
      </c>
      <c r="AN311" s="7" t="s">
        <v>71</v>
      </c>
      <c r="AO311" s="12"/>
    </row>
    <row r="312" spans="1:41" s="11" customFormat="1" ht="24" x14ac:dyDescent="0.25">
      <c r="A312" s="2">
        <v>311</v>
      </c>
      <c r="B312" s="7" t="s">
        <v>338</v>
      </c>
      <c r="C312" s="7" t="s">
        <v>347</v>
      </c>
      <c r="D312" s="7" t="s">
        <v>348</v>
      </c>
      <c r="E312" s="7">
        <v>30</v>
      </c>
      <c r="F312" s="8">
        <v>1</v>
      </c>
      <c r="G312" s="8">
        <v>3</v>
      </c>
      <c r="H312" s="7">
        <v>3</v>
      </c>
      <c r="I312" s="7">
        <v>3</v>
      </c>
      <c r="J312" s="7" t="s">
        <v>176</v>
      </c>
      <c r="K312" s="7">
        <v>2</v>
      </c>
      <c r="L312" s="7" t="s">
        <v>52</v>
      </c>
      <c r="M312" s="7">
        <f t="shared" si="20"/>
        <v>1</v>
      </c>
      <c r="N312" s="9" t="s">
        <v>177</v>
      </c>
      <c r="O312" s="7">
        <v>0</v>
      </c>
      <c r="P312" s="9" t="s">
        <v>63</v>
      </c>
      <c r="Q312" s="7" t="s">
        <v>38</v>
      </c>
      <c r="R312" s="7" t="s">
        <v>38</v>
      </c>
      <c r="S312" s="10" t="s">
        <v>1668</v>
      </c>
      <c r="T312" s="7">
        <v>22</v>
      </c>
      <c r="U312" s="7">
        <v>22</v>
      </c>
      <c r="V312" s="7">
        <v>50</v>
      </c>
      <c r="W312" s="7" t="s">
        <v>79</v>
      </c>
      <c r="X312" s="7">
        <v>40</v>
      </c>
      <c r="Y312" s="7">
        <v>100</v>
      </c>
      <c r="Z312" s="7">
        <v>100</v>
      </c>
      <c r="AA312" s="7">
        <v>33</v>
      </c>
      <c r="AB312" s="7">
        <f t="shared" ref="AB312:AB318" si="24">(U312+X312+Z312)/3</f>
        <v>54</v>
      </c>
      <c r="AC312" s="7">
        <f t="shared" si="21"/>
        <v>54</v>
      </c>
      <c r="AD312" s="7"/>
      <c r="AE312" s="7"/>
      <c r="AF312" s="7"/>
      <c r="AG312" s="7"/>
      <c r="AH312" s="7"/>
      <c r="AI312" s="7"/>
      <c r="AJ312" s="7"/>
      <c r="AK312" s="7"/>
      <c r="AL312" s="9" t="s">
        <v>38</v>
      </c>
      <c r="AM312" s="7" t="s">
        <v>349</v>
      </c>
      <c r="AN312" s="7" t="s">
        <v>2851</v>
      </c>
      <c r="AO312" s="7"/>
    </row>
    <row r="313" spans="1:41" s="11" customFormat="1" x14ac:dyDescent="0.25">
      <c r="A313" s="2">
        <v>312</v>
      </c>
      <c r="B313" s="7" t="s">
        <v>338</v>
      </c>
      <c r="C313" s="7" t="s">
        <v>237</v>
      </c>
      <c r="D313" s="7">
        <v>9</v>
      </c>
      <c r="E313" s="7">
        <v>9</v>
      </c>
      <c r="F313" s="8">
        <v>1</v>
      </c>
      <c r="G313" s="8">
        <v>1</v>
      </c>
      <c r="H313" s="7">
        <v>1</v>
      </c>
      <c r="I313" s="7">
        <v>1</v>
      </c>
      <c r="J313" s="7" t="s">
        <v>176</v>
      </c>
      <c r="K313" s="7">
        <v>2</v>
      </c>
      <c r="L313" s="7" t="s">
        <v>52</v>
      </c>
      <c r="M313" s="7">
        <f t="shared" si="20"/>
        <v>1</v>
      </c>
      <c r="N313" s="9" t="s">
        <v>109</v>
      </c>
      <c r="O313" s="7">
        <v>0</v>
      </c>
      <c r="P313" s="9" t="s">
        <v>63</v>
      </c>
      <c r="Q313" s="7" t="s">
        <v>38</v>
      </c>
      <c r="R313" s="7" t="s">
        <v>38</v>
      </c>
      <c r="S313" s="10" t="s">
        <v>1669</v>
      </c>
      <c r="T313" s="7">
        <v>35</v>
      </c>
      <c r="U313" s="7">
        <v>35</v>
      </c>
      <c r="V313" s="7">
        <v>45</v>
      </c>
      <c r="W313" s="7" t="s">
        <v>79</v>
      </c>
      <c r="X313" s="7">
        <v>15</v>
      </c>
      <c r="Y313" s="7"/>
      <c r="Z313" s="7"/>
      <c r="AA313" s="7"/>
      <c r="AB313" s="7">
        <f t="shared" si="24"/>
        <v>16.666666666666668</v>
      </c>
      <c r="AC313" s="7">
        <f t="shared" si="21"/>
        <v>16.666666666666668</v>
      </c>
      <c r="AD313" s="7"/>
      <c r="AE313" s="7"/>
      <c r="AF313" s="7"/>
      <c r="AG313" s="7"/>
      <c r="AH313" s="7"/>
      <c r="AI313" s="7"/>
      <c r="AJ313" s="7"/>
      <c r="AK313" s="7"/>
      <c r="AL313" s="9"/>
      <c r="AM313" s="7" t="s">
        <v>349</v>
      </c>
      <c r="AN313" s="7" t="s">
        <v>2851</v>
      </c>
      <c r="AO313" s="7"/>
    </row>
    <row r="314" spans="1:41" s="11" customFormat="1" ht="24" x14ac:dyDescent="0.25">
      <c r="A314" s="2">
        <v>313</v>
      </c>
      <c r="B314" s="7" t="s">
        <v>338</v>
      </c>
      <c r="C314" s="7" t="s">
        <v>78</v>
      </c>
      <c r="D314" s="7">
        <v>8</v>
      </c>
      <c r="E314" s="7">
        <v>8</v>
      </c>
      <c r="F314" s="8">
        <v>1</v>
      </c>
      <c r="G314" s="8">
        <v>1</v>
      </c>
      <c r="H314" s="7">
        <v>1</v>
      </c>
      <c r="I314" s="7">
        <v>1</v>
      </c>
      <c r="J314" s="7" t="s">
        <v>176</v>
      </c>
      <c r="K314" s="7">
        <v>2</v>
      </c>
      <c r="L314" s="7" t="s">
        <v>52</v>
      </c>
      <c r="M314" s="7">
        <f t="shared" si="20"/>
        <v>1</v>
      </c>
      <c r="N314" s="9" t="s">
        <v>109</v>
      </c>
      <c r="O314" s="7">
        <v>0</v>
      </c>
      <c r="P314" s="9" t="s">
        <v>63</v>
      </c>
      <c r="Q314" s="7" t="s">
        <v>38</v>
      </c>
      <c r="R314" s="7" t="s">
        <v>38</v>
      </c>
      <c r="S314" s="10" t="s">
        <v>1670</v>
      </c>
      <c r="T314" s="7">
        <v>13</v>
      </c>
      <c r="U314" s="7">
        <v>13</v>
      </c>
      <c r="V314" s="7">
        <v>130</v>
      </c>
      <c r="W314" s="7" t="s">
        <v>83</v>
      </c>
      <c r="X314" s="7"/>
      <c r="Y314" s="7"/>
      <c r="Z314" s="7"/>
      <c r="AA314" s="7"/>
      <c r="AB314" s="7">
        <f t="shared" si="24"/>
        <v>4.333333333333333</v>
      </c>
      <c r="AC314" s="7">
        <f t="shared" si="21"/>
        <v>4.333333333333333</v>
      </c>
      <c r="AD314" s="7"/>
      <c r="AE314" s="7"/>
      <c r="AF314" s="7"/>
      <c r="AG314" s="7"/>
      <c r="AH314" s="7"/>
      <c r="AI314" s="7"/>
      <c r="AJ314" s="7"/>
      <c r="AK314" s="7"/>
      <c r="AL314" s="9"/>
      <c r="AM314" s="7" t="s">
        <v>71</v>
      </c>
      <c r="AN314" s="7" t="s">
        <v>71</v>
      </c>
      <c r="AO314" s="7"/>
    </row>
    <row r="315" spans="1:41" s="11" customFormat="1" x14ac:dyDescent="0.25">
      <c r="A315" s="2">
        <v>314</v>
      </c>
      <c r="B315" s="7" t="s">
        <v>338</v>
      </c>
      <c r="C315" s="7" t="s">
        <v>50</v>
      </c>
      <c r="D315" s="7">
        <v>4</v>
      </c>
      <c r="E315" s="7">
        <v>4</v>
      </c>
      <c r="F315" s="8">
        <v>1</v>
      </c>
      <c r="G315" s="8">
        <v>1</v>
      </c>
      <c r="H315" s="7">
        <v>1</v>
      </c>
      <c r="I315" s="7">
        <v>1</v>
      </c>
      <c r="J315" s="7" t="s">
        <v>176</v>
      </c>
      <c r="K315" s="7" t="s">
        <v>268</v>
      </c>
      <c r="L315" s="7" t="s">
        <v>52</v>
      </c>
      <c r="M315" s="7">
        <f t="shared" si="20"/>
        <v>1</v>
      </c>
      <c r="N315" s="9" t="s">
        <v>177</v>
      </c>
      <c r="O315" s="7">
        <v>0</v>
      </c>
      <c r="P315" s="9" t="s">
        <v>63</v>
      </c>
      <c r="Q315" s="7" t="s">
        <v>38</v>
      </c>
      <c r="R315" s="7" t="s">
        <v>52</v>
      </c>
      <c r="S315" s="10" t="s">
        <v>414</v>
      </c>
      <c r="T315" s="7"/>
      <c r="U315" s="7"/>
      <c r="V315" s="7"/>
      <c r="W315" s="7"/>
      <c r="X315" s="7"/>
      <c r="Y315" s="7" t="s">
        <v>92</v>
      </c>
      <c r="Z315" s="7">
        <v>3</v>
      </c>
      <c r="AA315" s="7" t="s">
        <v>76</v>
      </c>
      <c r="AB315" s="7">
        <f t="shared" si="24"/>
        <v>1</v>
      </c>
      <c r="AC315" s="7">
        <f t="shared" si="21"/>
        <v>1</v>
      </c>
      <c r="AD315" s="7"/>
      <c r="AE315" s="7"/>
      <c r="AF315" s="7"/>
      <c r="AG315" s="7"/>
      <c r="AH315" s="7"/>
      <c r="AI315" s="7" t="s">
        <v>350</v>
      </c>
      <c r="AJ315" s="7"/>
      <c r="AK315" s="7"/>
      <c r="AL315" s="9"/>
      <c r="AM315" s="7" t="s">
        <v>71</v>
      </c>
      <c r="AN315" s="7" t="s">
        <v>71</v>
      </c>
      <c r="AO315" s="12"/>
    </row>
    <row r="316" spans="1:41" s="11" customFormat="1" x14ac:dyDescent="0.25">
      <c r="A316" s="2">
        <v>315</v>
      </c>
      <c r="B316" s="7" t="s">
        <v>338</v>
      </c>
      <c r="C316" s="7" t="s">
        <v>100</v>
      </c>
      <c r="D316" s="7">
        <v>1</v>
      </c>
      <c r="E316" s="7">
        <v>1</v>
      </c>
      <c r="F316" s="8">
        <v>1</v>
      </c>
      <c r="G316" s="8">
        <v>1</v>
      </c>
      <c r="H316" s="7">
        <v>1</v>
      </c>
      <c r="I316" s="7">
        <v>1</v>
      </c>
      <c r="J316" s="7" t="s">
        <v>176</v>
      </c>
      <c r="K316" s="7" t="s">
        <v>268</v>
      </c>
      <c r="L316" s="7" t="s">
        <v>52</v>
      </c>
      <c r="M316" s="7">
        <f t="shared" si="20"/>
        <v>1</v>
      </c>
      <c r="N316" s="9" t="s">
        <v>177</v>
      </c>
      <c r="O316" s="7">
        <v>0</v>
      </c>
      <c r="P316" s="9" t="s">
        <v>63</v>
      </c>
      <c r="Q316" s="7" t="s">
        <v>38</v>
      </c>
      <c r="R316" s="7" t="s">
        <v>52</v>
      </c>
      <c r="S316" s="10" t="s">
        <v>1671</v>
      </c>
      <c r="T316" s="7"/>
      <c r="U316" s="7"/>
      <c r="V316" s="7"/>
      <c r="W316" s="7"/>
      <c r="X316" s="7">
        <v>3</v>
      </c>
      <c r="Y316" s="7"/>
      <c r="Z316" s="7"/>
      <c r="AA316" s="7"/>
      <c r="AB316" s="7">
        <f t="shared" si="24"/>
        <v>1</v>
      </c>
      <c r="AC316" s="7">
        <f t="shared" si="21"/>
        <v>1</v>
      </c>
      <c r="AD316" s="7"/>
      <c r="AE316" s="7"/>
      <c r="AF316" s="7"/>
      <c r="AG316" s="7"/>
      <c r="AH316" s="7"/>
      <c r="AI316" s="7"/>
      <c r="AJ316" s="7"/>
      <c r="AK316" s="7"/>
      <c r="AL316" s="9"/>
      <c r="AM316" s="7" t="s">
        <v>71</v>
      </c>
      <c r="AN316" s="7" t="s">
        <v>71</v>
      </c>
      <c r="AO316" s="12"/>
    </row>
    <row r="317" spans="1:41" s="11" customFormat="1" x14ac:dyDescent="0.25">
      <c r="A317" s="2">
        <v>316</v>
      </c>
      <c r="B317" s="7" t="s">
        <v>338</v>
      </c>
      <c r="C317" s="7" t="s">
        <v>100</v>
      </c>
      <c r="D317" s="7">
        <v>33</v>
      </c>
      <c r="E317" s="7">
        <v>33</v>
      </c>
      <c r="F317" s="8">
        <v>1</v>
      </c>
      <c r="G317" s="8">
        <v>1</v>
      </c>
      <c r="H317" s="7">
        <v>1</v>
      </c>
      <c r="I317" s="7">
        <v>1</v>
      </c>
      <c r="J317" s="7" t="s">
        <v>351</v>
      </c>
      <c r="K317" s="7"/>
      <c r="L317" s="7" t="s">
        <v>38</v>
      </c>
      <c r="M317" s="7">
        <f t="shared" si="20"/>
        <v>0</v>
      </c>
      <c r="N317" s="9"/>
      <c r="O317" s="7"/>
      <c r="P317" s="9"/>
      <c r="Q317" s="7" t="s">
        <v>52</v>
      </c>
      <c r="R317" s="7" t="s">
        <v>52</v>
      </c>
      <c r="S317" s="7"/>
      <c r="T317" s="7"/>
      <c r="U317" s="7"/>
      <c r="V317" s="7"/>
      <c r="W317" s="7"/>
      <c r="X317" s="7">
        <v>3</v>
      </c>
      <c r="Y317" s="7"/>
      <c r="Z317" s="7"/>
      <c r="AA317" s="7"/>
      <c r="AB317" s="7">
        <f t="shared" si="24"/>
        <v>1</v>
      </c>
      <c r="AC317" s="7">
        <f t="shared" si="21"/>
        <v>0</v>
      </c>
      <c r="AD317" s="7"/>
      <c r="AE317" s="7"/>
      <c r="AF317" s="7"/>
      <c r="AG317" s="7"/>
      <c r="AH317" s="7"/>
      <c r="AI317" s="7"/>
      <c r="AJ317" s="7"/>
      <c r="AK317" s="7"/>
      <c r="AL317" s="9"/>
      <c r="AM317" s="7" t="s">
        <v>352</v>
      </c>
      <c r="AN317" s="7" t="s">
        <v>2849</v>
      </c>
      <c r="AO317" s="7"/>
    </row>
    <row r="318" spans="1:41" s="11" customFormat="1" x14ac:dyDescent="0.25">
      <c r="A318" s="2">
        <v>317</v>
      </c>
      <c r="B318" s="7" t="s">
        <v>338</v>
      </c>
      <c r="C318" s="7" t="s">
        <v>100</v>
      </c>
      <c r="D318" s="7">
        <v>9</v>
      </c>
      <c r="E318" s="7">
        <v>9</v>
      </c>
      <c r="F318" s="8">
        <v>1</v>
      </c>
      <c r="G318" s="8">
        <v>1</v>
      </c>
      <c r="H318" s="7">
        <v>1</v>
      </c>
      <c r="I318" s="7">
        <v>1</v>
      </c>
      <c r="J318" s="7" t="s">
        <v>219</v>
      </c>
      <c r="K318" s="7">
        <v>13</v>
      </c>
      <c r="L318" s="7" t="s">
        <v>52</v>
      </c>
      <c r="M318" s="7">
        <f t="shared" si="20"/>
        <v>1</v>
      </c>
      <c r="N318" s="9" t="s">
        <v>82</v>
      </c>
      <c r="O318" s="7">
        <v>0</v>
      </c>
      <c r="P318" s="9" t="s">
        <v>36</v>
      </c>
      <c r="Q318" s="7" t="s">
        <v>38</v>
      </c>
      <c r="R318" s="7" t="s">
        <v>38</v>
      </c>
      <c r="S318" s="7"/>
      <c r="T318" s="7"/>
      <c r="U318" s="7"/>
      <c r="V318" s="7"/>
      <c r="W318" s="7"/>
      <c r="X318" s="7">
        <v>3</v>
      </c>
      <c r="Y318" s="7"/>
      <c r="Z318" s="7"/>
      <c r="AA318" s="7"/>
      <c r="AB318" s="7">
        <f t="shared" si="24"/>
        <v>1</v>
      </c>
      <c r="AC318" s="7">
        <f t="shared" si="21"/>
        <v>1</v>
      </c>
      <c r="AD318" s="7"/>
      <c r="AE318" s="7"/>
      <c r="AF318" s="7"/>
      <c r="AG318" s="7"/>
      <c r="AH318" s="7"/>
      <c r="AI318" s="7"/>
      <c r="AJ318" s="7"/>
      <c r="AK318" s="7"/>
      <c r="AL318" s="9"/>
      <c r="AM318" s="7" t="s">
        <v>71</v>
      </c>
      <c r="AN318" s="7" t="s">
        <v>71</v>
      </c>
      <c r="AO318" s="7"/>
    </row>
    <row r="319" spans="1:41" s="11" customFormat="1" x14ac:dyDescent="0.25">
      <c r="A319" s="2">
        <v>318</v>
      </c>
      <c r="B319" s="7" t="s">
        <v>338</v>
      </c>
      <c r="C319" s="7" t="s">
        <v>100</v>
      </c>
      <c r="D319" s="7">
        <v>34</v>
      </c>
      <c r="E319" s="7">
        <v>34</v>
      </c>
      <c r="F319" s="8">
        <v>1</v>
      </c>
      <c r="G319" s="8">
        <v>2</v>
      </c>
      <c r="H319" s="7" t="s">
        <v>87</v>
      </c>
      <c r="I319" s="7">
        <v>2</v>
      </c>
      <c r="J319" s="7" t="s">
        <v>353</v>
      </c>
      <c r="K319" s="7"/>
      <c r="L319" s="7" t="s">
        <v>38</v>
      </c>
      <c r="M319" s="7">
        <f t="shared" si="20"/>
        <v>0</v>
      </c>
      <c r="N319" s="9"/>
      <c r="O319" s="7"/>
      <c r="P319" s="9"/>
      <c r="Q319" s="7"/>
      <c r="R319" s="7"/>
      <c r="S319" s="7"/>
      <c r="T319" s="7"/>
      <c r="U319" s="7"/>
      <c r="V319" s="7"/>
      <c r="W319" s="7"/>
      <c r="X319" s="7"/>
      <c r="Y319" s="7"/>
      <c r="Z319" s="7"/>
      <c r="AA319" s="7"/>
      <c r="AB319" s="7">
        <v>0.33333333333333298</v>
      </c>
      <c r="AC319" s="7">
        <f t="shared" si="21"/>
        <v>0</v>
      </c>
      <c r="AD319" s="7"/>
      <c r="AE319" s="7"/>
      <c r="AF319" s="7"/>
      <c r="AG319" s="7"/>
      <c r="AH319" s="7"/>
      <c r="AI319" s="7"/>
      <c r="AJ319" s="7"/>
      <c r="AK319" s="7"/>
      <c r="AL319" s="9"/>
      <c r="AM319" s="7" t="s">
        <v>71</v>
      </c>
      <c r="AN319" s="7" t="s">
        <v>71</v>
      </c>
      <c r="AO319" s="12"/>
    </row>
    <row r="320" spans="1:41" s="11" customFormat="1" x14ac:dyDescent="0.25">
      <c r="A320" s="2">
        <v>319</v>
      </c>
      <c r="B320" s="7" t="s">
        <v>338</v>
      </c>
      <c r="C320" s="7" t="s">
        <v>50</v>
      </c>
      <c r="D320" s="7">
        <v>12</v>
      </c>
      <c r="E320" s="7">
        <v>12</v>
      </c>
      <c r="F320" s="8">
        <v>1</v>
      </c>
      <c r="G320" s="8">
        <v>1</v>
      </c>
      <c r="H320" s="7">
        <v>1</v>
      </c>
      <c r="I320" s="7">
        <v>1</v>
      </c>
      <c r="J320" s="7" t="s">
        <v>219</v>
      </c>
      <c r="K320" s="7" t="s">
        <v>337</v>
      </c>
      <c r="L320" s="7" t="s">
        <v>52</v>
      </c>
      <c r="M320" s="7">
        <f t="shared" si="20"/>
        <v>1</v>
      </c>
      <c r="N320" s="9" t="s">
        <v>34</v>
      </c>
      <c r="O320" s="7">
        <v>0</v>
      </c>
      <c r="P320" s="9" t="s">
        <v>63</v>
      </c>
      <c r="Q320" s="7" t="s">
        <v>38</v>
      </c>
      <c r="R320" s="7" t="s">
        <v>38</v>
      </c>
      <c r="S320" s="10" t="s">
        <v>1537</v>
      </c>
      <c r="T320" s="7"/>
      <c r="U320" s="7"/>
      <c r="V320" s="7"/>
      <c r="W320" s="7"/>
      <c r="X320" s="7"/>
      <c r="Y320" s="7" t="s">
        <v>92</v>
      </c>
      <c r="Z320" s="7">
        <v>3</v>
      </c>
      <c r="AA320" s="7" t="s">
        <v>199</v>
      </c>
      <c r="AB320" s="7">
        <f t="shared" ref="AB320:AB351" si="25">(U320+X320+Z320)/3</f>
        <v>1</v>
      </c>
      <c r="AC320" s="7">
        <f t="shared" si="21"/>
        <v>1</v>
      </c>
      <c r="AD320" s="7"/>
      <c r="AE320" s="7"/>
      <c r="AF320" s="7"/>
      <c r="AG320" s="7"/>
      <c r="AH320" s="7"/>
      <c r="AI320" s="7"/>
      <c r="AJ320" s="7"/>
      <c r="AK320" s="7"/>
      <c r="AL320" s="9"/>
      <c r="AM320" s="7" t="s">
        <v>71</v>
      </c>
      <c r="AN320" s="7" t="s">
        <v>71</v>
      </c>
      <c r="AO320" s="7"/>
    </row>
    <row r="321" spans="1:41" s="11" customFormat="1" x14ac:dyDescent="0.25">
      <c r="A321" s="2">
        <v>320</v>
      </c>
      <c r="B321" s="7" t="s">
        <v>354</v>
      </c>
      <c r="C321" s="7" t="s">
        <v>78</v>
      </c>
      <c r="D321" s="7">
        <v>1</v>
      </c>
      <c r="E321" s="7">
        <v>1</v>
      </c>
      <c r="F321" s="8">
        <v>1</v>
      </c>
      <c r="G321" s="8">
        <v>1</v>
      </c>
      <c r="H321" s="7">
        <v>1</v>
      </c>
      <c r="I321" s="7">
        <v>1</v>
      </c>
      <c r="J321" s="7" t="s">
        <v>35</v>
      </c>
      <c r="K321" s="7">
        <v>2</v>
      </c>
      <c r="L321" s="7" t="s">
        <v>52</v>
      </c>
      <c r="M321" s="7">
        <f t="shared" si="20"/>
        <v>1</v>
      </c>
      <c r="N321" s="9" t="s">
        <v>34</v>
      </c>
      <c r="O321" s="7">
        <v>0</v>
      </c>
      <c r="P321" s="9" t="s">
        <v>33</v>
      </c>
      <c r="Q321" s="7" t="s">
        <v>38</v>
      </c>
      <c r="R321" s="7" t="s">
        <v>38</v>
      </c>
      <c r="S321" s="7"/>
      <c r="T321" s="7">
        <v>6</v>
      </c>
      <c r="U321" s="7">
        <v>6</v>
      </c>
      <c r="V321" s="7">
        <v>70</v>
      </c>
      <c r="W321" s="7" t="s">
        <v>88</v>
      </c>
      <c r="X321" s="7"/>
      <c r="Y321" s="7"/>
      <c r="Z321" s="7"/>
      <c r="AA321" s="7"/>
      <c r="AB321" s="7">
        <f t="shared" si="25"/>
        <v>2</v>
      </c>
      <c r="AC321" s="7">
        <f t="shared" si="21"/>
        <v>2</v>
      </c>
      <c r="AD321" s="7"/>
      <c r="AE321" s="7"/>
      <c r="AF321" s="7"/>
      <c r="AG321" s="7"/>
      <c r="AH321" s="7"/>
      <c r="AI321" s="7"/>
      <c r="AJ321" s="7"/>
      <c r="AK321" s="7"/>
      <c r="AL321" s="9"/>
      <c r="AM321" s="7" t="s">
        <v>71</v>
      </c>
      <c r="AN321" s="7" t="s">
        <v>71</v>
      </c>
      <c r="AO321" s="7"/>
    </row>
    <row r="322" spans="1:41" s="11" customFormat="1" x14ac:dyDescent="0.25">
      <c r="A322" s="2">
        <v>321</v>
      </c>
      <c r="B322" s="7" t="s">
        <v>354</v>
      </c>
      <c r="C322" s="7" t="s">
        <v>78</v>
      </c>
      <c r="D322" s="7">
        <v>2</v>
      </c>
      <c r="E322" s="7">
        <v>2</v>
      </c>
      <c r="F322" s="8">
        <v>1</v>
      </c>
      <c r="G322" s="8">
        <v>1</v>
      </c>
      <c r="H322" s="7">
        <v>1</v>
      </c>
      <c r="I322" s="7">
        <v>1</v>
      </c>
      <c r="J322" s="7" t="s">
        <v>35</v>
      </c>
      <c r="K322" s="7">
        <v>1</v>
      </c>
      <c r="L322" s="7" t="s">
        <v>52</v>
      </c>
      <c r="M322" s="7">
        <f t="shared" ref="M322:M385" si="26">IF(L322="n",F322,0)</f>
        <v>1</v>
      </c>
      <c r="N322" s="9" t="s">
        <v>36</v>
      </c>
      <c r="O322" s="7">
        <v>0</v>
      </c>
      <c r="P322" s="9" t="s">
        <v>37</v>
      </c>
      <c r="Q322" s="7" t="s">
        <v>38</v>
      </c>
      <c r="R322" s="7" t="s">
        <v>38</v>
      </c>
      <c r="S322" s="10" t="s">
        <v>1630</v>
      </c>
      <c r="T322" s="7" t="s">
        <v>92</v>
      </c>
      <c r="U322" s="7">
        <v>3</v>
      </c>
      <c r="V322" s="7" t="s">
        <v>199</v>
      </c>
      <c r="W322" s="7" t="s">
        <v>79</v>
      </c>
      <c r="X322" s="7"/>
      <c r="Y322" s="7"/>
      <c r="Z322" s="7"/>
      <c r="AA322" s="7"/>
      <c r="AB322" s="7">
        <f t="shared" si="25"/>
        <v>1</v>
      </c>
      <c r="AC322" s="7">
        <f t="shared" ref="AC322:AC385" si="27">IF(L322="n",AB322,0)</f>
        <v>1</v>
      </c>
      <c r="AD322" s="7"/>
      <c r="AE322" s="7"/>
      <c r="AF322" s="7"/>
      <c r="AG322" s="7"/>
      <c r="AH322" s="7"/>
      <c r="AI322" s="7"/>
      <c r="AJ322" s="7"/>
      <c r="AK322" s="7"/>
      <c r="AL322" s="9"/>
      <c r="AM322" s="7" t="s">
        <v>71</v>
      </c>
      <c r="AN322" s="7" t="s">
        <v>71</v>
      </c>
      <c r="AO322" s="7"/>
    </row>
    <row r="323" spans="1:41" s="11" customFormat="1" x14ac:dyDescent="0.25">
      <c r="A323" s="2">
        <v>322</v>
      </c>
      <c r="B323" s="7" t="s">
        <v>354</v>
      </c>
      <c r="C323" s="7" t="s">
        <v>100</v>
      </c>
      <c r="D323" s="7">
        <v>3</v>
      </c>
      <c r="E323" s="7">
        <v>3</v>
      </c>
      <c r="F323" s="8">
        <v>1</v>
      </c>
      <c r="G323" s="8">
        <v>1</v>
      </c>
      <c r="H323" s="7">
        <v>1</v>
      </c>
      <c r="I323" s="7">
        <v>1</v>
      </c>
      <c r="J323" s="7" t="s">
        <v>35</v>
      </c>
      <c r="K323" s="7">
        <v>2</v>
      </c>
      <c r="L323" s="7" t="s">
        <v>52</v>
      </c>
      <c r="M323" s="7">
        <f t="shared" si="26"/>
        <v>1</v>
      </c>
      <c r="N323" s="9" t="s">
        <v>37</v>
      </c>
      <c r="O323" s="7">
        <v>0</v>
      </c>
      <c r="P323" s="9" t="s">
        <v>63</v>
      </c>
      <c r="Q323" s="7" t="s">
        <v>38</v>
      </c>
      <c r="R323" s="7" t="s">
        <v>38</v>
      </c>
      <c r="S323" s="10" t="s">
        <v>1672</v>
      </c>
      <c r="T323" s="7"/>
      <c r="U323" s="7"/>
      <c r="V323" s="7"/>
      <c r="W323" s="7"/>
      <c r="X323" s="7">
        <v>3</v>
      </c>
      <c r="Y323" s="7"/>
      <c r="Z323" s="7"/>
      <c r="AA323" s="7"/>
      <c r="AB323" s="7">
        <f t="shared" si="25"/>
        <v>1</v>
      </c>
      <c r="AC323" s="7">
        <f t="shared" si="27"/>
        <v>1</v>
      </c>
      <c r="AD323" s="7"/>
      <c r="AE323" s="7"/>
      <c r="AF323" s="7"/>
      <c r="AG323" s="7"/>
      <c r="AH323" s="7"/>
      <c r="AI323" s="7"/>
      <c r="AJ323" s="7"/>
      <c r="AK323" s="7"/>
      <c r="AL323" s="9"/>
      <c r="AM323" s="7" t="s">
        <v>71</v>
      </c>
      <c r="AN323" s="7" t="s">
        <v>71</v>
      </c>
      <c r="AO323" s="12"/>
    </row>
    <row r="324" spans="1:41" s="11" customFormat="1" x14ac:dyDescent="0.25">
      <c r="A324" s="2">
        <v>323</v>
      </c>
      <c r="B324" s="7" t="s">
        <v>354</v>
      </c>
      <c r="C324" s="7" t="s">
        <v>89</v>
      </c>
      <c r="D324" s="7" t="s">
        <v>195</v>
      </c>
      <c r="E324" s="7">
        <v>8</v>
      </c>
      <c r="F324" s="8">
        <v>1</v>
      </c>
      <c r="G324" s="8">
        <v>2</v>
      </c>
      <c r="H324" s="7">
        <v>2</v>
      </c>
      <c r="I324" s="7">
        <v>2</v>
      </c>
      <c r="J324" s="7" t="s">
        <v>35</v>
      </c>
      <c r="K324" s="7">
        <v>1</v>
      </c>
      <c r="L324" s="7" t="s">
        <v>52</v>
      </c>
      <c r="M324" s="7">
        <f t="shared" si="26"/>
        <v>1</v>
      </c>
      <c r="N324" s="9" t="s">
        <v>34</v>
      </c>
      <c r="O324" s="7">
        <v>0</v>
      </c>
      <c r="P324" s="9" t="s">
        <v>36</v>
      </c>
      <c r="Q324" s="7" t="s">
        <v>38</v>
      </c>
      <c r="R324" s="7" t="s">
        <v>38</v>
      </c>
      <c r="S324" s="10" t="s">
        <v>1673</v>
      </c>
      <c r="T324" s="7"/>
      <c r="U324" s="7"/>
      <c r="V324" s="7"/>
      <c r="W324" s="7"/>
      <c r="X324" s="7">
        <v>3</v>
      </c>
      <c r="Y324" s="7"/>
      <c r="Z324" s="7"/>
      <c r="AA324" s="7"/>
      <c r="AB324" s="7">
        <f t="shared" si="25"/>
        <v>1</v>
      </c>
      <c r="AC324" s="7">
        <f t="shared" si="27"/>
        <v>1</v>
      </c>
      <c r="AD324" s="7"/>
      <c r="AE324" s="7" t="s">
        <v>55</v>
      </c>
      <c r="AF324" s="7"/>
      <c r="AG324" s="7" t="s">
        <v>355</v>
      </c>
      <c r="AH324" s="7"/>
      <c r="AI324" s="7"/>
      <c r="AJ324" s="7"/>
      <c r="AK324" s="7"/>
      <c r="AL324" s="9"/>
      <c r="AM324" s="7" t="s">
        <v>71</v>
      </c>
      <c r="AN324" s="7" t="s">
        <v>71</v>
      </c>
      <c r="AO324" s="7"/>
    </row>
    <row r="325" spans="1:41" s="11" customFormat="1" x14ac:dyDescent="0.25">
      <c r="A325" s="2">
        <v>324</v>
      </c>
      <c r="B325" s="7" t="s">
        <v>354</v>
      </c>
      <c r="C325" s="7" t="s">
        <v>100</v>
      </c>
      <c r="D325" s="7">
        <v>1</v>
      </c>
      <c r="E325" s="7">
        <v>1</v>
      </c>
      <c r="F325" s="8">
        <v>1</v>
      </c>
      <c r="G325" s="8">
        <v>1</v>
      </c>
      <c r="H325" s="7">
        <v>1</v>
      </c>
      <c r="I325" s="7">
        <v>1</v>
      </c>
      <c r="J325" s="7" t="s">
        <v>35</v>
      </c>
      <c r="K325" s="7">
        <v>1</v>
      </c>
      <c r="L325" s="7" t="s">
        <v>52</v>
      </c>
      <c r="M325" s="7">
        <f t="shared" si="26"/>
        <v>1</v>
      </c>
      <c r="N325" s="9" t="s">
        <v>36</v>
      </c>
      <c r="O325" s="7">
        <v>0</v>
      </c>
      <c r="P325" s="9" t="s">
        <v>33</v>
      </c>
      <c r="Q325" s="7" t="s">
        <v>38</v>
      </c>
      <c r="R325" s="7" t="s">
        <v>38</v>
      </c>
      <c r="S325" s="7"/>
      <c r="T325" s="7"/>
      <c r="U325" s="7"/>
      <c r="V325" s="7"/>
      <c r="W325" s="7"/>
      <c r="X325" s="7">
        <v>3</v>
      </c>
      <c r="Y325" s="7"/>
      <c r="Z325" s="7"/>
      <c r="AA325" s="7"/>
      <c r="AB325" s="7">
        <f t="shared" si="25"/>
        <v>1</v>
      </c>
      <c r="AC325" s="7">
        <f t="shared" si="27"/>
        <v>1</v>
      </c>
      <c r="AD325" s="7"/>
      <c r="AE325" s="7"/>
      <c r="AF325" s="7"/>
      <c r="AG325" s="7"/>
      <c r="AH325" s="7"/>
      <c r="AI325" s="7"/>
      <c r="AJ325" s="7"/>
      <c r="AK325" s="7"/>
      <c r="AL325" s="9"/>
      <c r="AM325" s="7" t="s">
        <v>71</v>
      </c>
      <c r="AN325" s="7" t="s">
        <v>71</v>
      </c>
      <c r="AO325" s="12"/>
    </row>
    <row r="326" spans="1:41" s="11" customFormat="1" x14ac:dyDescent="0.25">
      <c r="A326" s="2">
        <v>325</v>
      </c>
      <c r="B326" s="7" t="s">
        <v>354</v>
      </c>
      <c r="C326" s="7" t="s">
        <v>100</v>
      </c>
      <c r="D326" s="7">
        <v>1</v>
      </c>
      <c r="E326" s="7">
        <v>1</v>
      </c>
      <c r="F326" s="8">
        <v>1</v>
      </c>
      <c r="G326" s="8">
        <v>1</v>
      </c>
      <c r="H326" s="7">
        <v>1</v>
      </c>
      <c r="I326" s="7">
        <v>1</v>
      </c>
      <c r="J326" s="7" t="s">
        <v>35</v>
      </c>
      <c r="K326" s="7">
        <v>2</v>
      </c>
      <c r="L326" s="7" t="s">
        <v>52</v>
      </c>
      <c r="M326" s="7">
        <f t="shared" si="26"/>
        <v>1</v>
      </c>
      <c r="N326" s="9" t="s">
        <v>34</v>
      </c>
      <c r="O326" s="7">
        <v>0</v>
      </c>
      <c r="P326" s="9" t="s">
        <v>63</v>
      </c>
      <c r="Q326" s="7" t="s">
        <v>38</v>
      </c>
      <c r="R326" s="7" t="s">
        <v>38</v>
      </c>
      <c r="S326" s="10" t="s">
        <v>1674</v>
      </c>
      <c r="T326" s="7"/>
      <c r="U326" s="7"/>
      <c r="V326" s="7"/>
      <c r="W326" s="7"/>
      <c r="X326" s="7">
        <v>3</v>
      </c>
      <c r="Y326" s="7"/>
      <c r="Z326" s="7"/>
      <c r="AA326" s="7"/>
      <c r="AB326" s="7">
        <f t="shared" si="25"/>
        <v>1</v>
      </c>
      <c r="AC326" s="7">
        <f t="shared" si="27"/>
        <v>1</v>
      </c>
      <c r="AD326" s="7"/>
      <c r="AE326" s="7"/>
      <c r="AF326" s="7"/>
      <c r="AG326" s="7"/>
      <c r="AH326" s="7"/>
      <c r="AI326" s="7"/>
      <c r="AJ326" s="7"/>
      <c r="AK326" s="7"/>
      <c r="AL326" s="9"/>
      <c r="AM326" s="7" t="s">
        <v>71</v>
      </c>
      <c r="AN326" s="7" t="s">
        <v>71</v>
      </c>
      <c r="AO326" s="12"/>
    </row>
    <row r="327" spans="1:41" s="11" customFormat="1" x14ac:dyDescent="0.25">
      <c r="A327" s="2">
        <v>326</v>
      </c>
      <c r="B327" s="7" t="s">
        <v>354</v>
      </c>
      <c r="C327" s="7" t="s">
        <v>78</v>
      </c>
      <c r="D327" s="7">
        <v>4</v>
      </c>
      <c r="E327" s="7">
        <v>4</v>
      </c>
      <c r="F327" s="8">
        <v>1</v>
      </c>
      <c r="G327" s="8">
        <v>1</v>
      </c>
      <c r="H327" s="7">
        <v>1</v>
      </c>
      <c r="I327" s="7">
        <v>1</v>
      </c>
      <c r="J327" s="7" t="s">
        <v>219</v>
      </c>
      <c r="K327" s="7">
        <v>1</v>
      </c>
      <c r="L327" s="7" t="s">
        <v>52</v>
      </c>
      <c r="M327" s="7">
        <f t="shared" si="26"/>
        <v>1</v>
      </c>
      <c r="N327" s="9" t="s">
        <v>34</v>
      </c>
      <c r="O327" s="7">
        <v>0</v>
      </c>
      <c r="P327" s="9" t="s">
        <v>63</v>
      </c>
      <c r="Q327" s="7" t="s">
        <v>38</v>
      </c>
      <c r="R327" s="7" t="s">
        <v>38</v>
      </c>
      <c r="S327" s="10" t="s">
        <v>1675</v>
      </c>
      <c r="T327" s="7" t="s">
        <v>92</v>
      </c>
      <c r="U327" s="7">
        <v>3</v>
      </c>
      <c r="V327" s="7" t="s">
        <v>199</v>
      </c>
      <c r="W327" s="7" t="s">
        <v>88</v>
      </c>
      <c r="X327" s="7"/>
      <c r="Y327" s="7"/>
      <c r="Z327" s="7"/>
      <c r="AA327" s="7"/>
      <c r="AB327" s="7">
        <f t="shared" si="25"/>
        <v>1</v>
      </c>
      <c r="AC327" s="7">
        <f t="shared" si="27"/>
        <v>1</v>
      </c>
      <c r="AD327" s="7"/>
      <c r="AE327" s="7"/>
      <c r="AF327" s="7"/>
      <c r="AG327" s="7"/>
      <c r="AH327" s="7"/>
      <c r="AI327" s="7"/>
      <c r="AJ327" s="10" t="s">
        <v>2343</v>
      </c>
      <c r="AK327" s="7"/>
      <c r="AL327" s="9"/>
      <c r="AM327" s="7" t="s">
        <v>71</v>
      </c>
      <c r="AN327" s="7" t="s">
        <v>71</v>
      </c>
      <c r="AO327" s="7"/>
    </row>
    <row r="328" spans="1:41" s="11" customFormat="1" ht="24" x14ac:dyDescent="0.25">
      <c r="A328" s="2">
        <v>327</v>
      </c>
      <c r="B328" s="7" t="s">
        <v>354</v>
      </c>
      <c r="C328" s="7" t="s">
        <v>78</v>
      </c>
      <c r="D328" s="7">
        <v>29</v>
      </c>
      <c r="E328" s="7">
        <v>29</v>
      </c>
      <c r="F328" s="8">
        <v>1</v>
      </c>
      <c r="G328" s="8">
        <v>1</v>
      </c>
      <c r="H328" s="7">
        <v>1</v>
      </c>
      <c r="I328" s="7">
        <v>1</v>
      </c>
      <c r="J328" s="7" t="s">
        <v>219</v>
      </c>
      <c r="K328" s="7">
        <v>13</v>
      </c>
      <c r="L328" s="7" t="s">
        <v>52</v>
      </c>
      <c r="M328" s="7">
        <f t="shared" si="26"/>
        <v>1</v>
      </c>
      <c r="N328" s="9" t="s">
        <v>34</v>
      </c>
      <c r="O328" s="7">
        <v>0</v>
      </c>
      <c r="P328" s="9" t="s">
        <v>33</v>
      </c>
      <c r="Q328" s="7" t="s">
        <v>38</v>
      </c>
      <c r="R328" s="7" t="s">
        <v>38</v>
      </c>
      <c r="S328" s="10" t="s">
        <v>1676</v>
      </c>
      <c r="T328" s="7">
        <v>5</v>
      </c>
      <c r="U328" s="7">
        <v>5</v>
      </c>
      <c r="V328" s="7" t="s">
        <v>272</v>
      </c>
      <c r="W328" s="7" t="s">
        <v>239</v>
      </c>
      <c r="X328" s="7"/>
      <c r="Y328" s="7"/>
      <c r="Z328" s="7"/>
      <c r="AA328" s="7"/>
      <c r="AB328" s="7">
        <f t="shared" si="25"/>
        <v>1.6666666666666667</v>
      </c>
      <c r="AC328" s="7">
        <f t="shared" si="27"/>
        <v>1.6666666666666667</v>
      </c>
      <c r="AD328" s="7"/>
      <c r="AE328" s="7">
        <v>1</v>
      </c>
      <c r="AF328" s="7"/>
      <c r="AG328" s="7" t="s">
        <v>356</v>
      </c>
      <c r="AH328" s="7"/>
      <c r="AI328" s="7"/>
      <c r="AJ328" s="10" t="s">
        <v>2344</v>
      </c>
      <c r="AK328" s="7"/>
      <c r="AL328" s="9"/>
      <c r="AM328" s="7" t="s">
        <v>357</v>
      </c>
      <c r="AN328" s="7" t="s">
        <v>662</v>
      </c>
      <c r="AO328" s="7"/>
    </row>
    <row r="329" spans="1:41" s="11" customFormat="1" x14ac:dyDescent="0.25">
      <c r="A329" s="2">
        <v>328</v>
      </c>
      <c r="B329" s="7" t="s">
        <v>354</v>
      </c>
      <c r="C329" s="7" t="s">
        <v>50</v>
      </c>
      <c r="D329" s="7">
        <v>13</v>
      </c>
      <c r="E329" s="7">
        <v>13</v>
      </c>
      <c r="F329" s="8">
        <v>1</v>
      </c>
      <c r="G329" s="8">
        <v>1</v>
      </c>
      <c r="H329" s="8">
        <v>1</v>
      </c>
      <c r="I329" s="8">
        <v>1</v>
      </c>
      <c r="J329" s="9" t="s">
        <v>35</v>
      </c>
      <c r="K329" s="7">
        <v>2</v>
      </c>
      <c r="L329" s="7" t="s">
        <v>52</v>
      </c>
      <c r="M329" s="7">
        <f t="shared" si="26"/>
        <v>1</v>
      </c>
      <c r="N329" s="9" t="s">
        <v>34</v>
      </c>
      <c r="O329" s="7">
        <v>0</v>
      </c>
      <c r="P329" s="9" t="s">
        <v>33</v>
      </c>
      <c r="Q329" s="7" t="s">
        <v>38</v>
      </c>
      <c r="R329" s="7" t="s">
        <v>38</v>
      </c>
      <c r="S329" s="10" t="s">
        <v>1677</v>
      </c>
      <c r="T329" s="7"/>
      <c r="U329" s="7"/>
      <c r="V329" s="7"/>
      <c r="W329" s="7"/>
      <c r="X329" s="7"/>
      <c r="Y329" s="7">
        <v>25</v>
      </c>
      <c r="Z329" s="7">
        <v>25</v>
      </c>
      <c r="AA329" s="7">
        <v>65</v>
      </c>
      <c r="AB329" s="7">
        <f t="shared" si="25"/>
        <v>8.3333333333333339</v>
      </c>
      <c r="AC329" s="7">
        <f t="shared" si="27"/>
        <v>8.3333333333333339</v>
      </c>
      <c r="AD329" s="7"/>
      <c r="AE329" s="7"/>
      <c r="AF329" s="7"/>
      <c r="AG329" s="7"/>
      <c r="AH329" s="7"/>
      <c r="AI329" s="7"/>
      <c r="AJ329" s="7"/>
      <c r="AK329" s="7"/>
      <c r="AL329" s="9"/>
      <c r="AM329" s="7" t="s">
        <v>42</v>
      </c>
      <c r="AN329" s="7" t="s">
        <v>42</v>
      </c>
      <c r="AO329" s="7"/>
    </row>
    <row r="330" spans="1:41" s="11" customFormat="1" x14ac:dyDescent="0.25">
      <c r="A330" s="2">
        <v>329</v>
      </c>
      <c r="B330" s="7" t="s">
        <v>354</v>
      </c>
      <c r="C330" s="7" t="s">
        <v>100</v>
      </c>
      <c r="D330" s="7">
        <v>11</v>
      </c>
      <c r="E330" s="7">
        <v>11</v>
      </c>
      <c r="F330" s="8">
        <v>1</v>
      </c>
      <c r="G330" s="8">
        <v>1</v>
      </c>
      <c r="H330" s="7">
        <v>1</v>
      </c>
      <c r="I330" s="7">
        <v>1</v>
      </c>
      <c r="J330" s="7" t="s">
        <v>70</v>
      </c>
      <c r="K330" s="7">
        <v>1</v>
      </c>
      <c r="L330" s="7" t="s">
        <v>52</v>
      </c>
      <c r="M330" s="7">
        <f t="shared" si="26"/>
        <v>1</v>
      </c>
      <c r="N330" s="9" t="s">
        <v>36</v>
      </c>
      <c r="O330" s="7">
        <v>0</v>
      </c>
      <c r="P330" s="9" t="s">
        <v>33</v>
      </c>
      <c r="Q330" s="7" t="s">
        <v>52</v>
      </c>
      <c r="R330" s="7" t="s">
        <v>38</v>
      </c>
      <c r="S330" s="10" t="s">
        <v>1678</v>
      </c>
      <c r="T330" s="7"/>
      <c r="U330" s="7"/>
      <c r="V330" s="7"/>
      <c r="W330" s="7"/>
      <c r="X330" s="7">
        <v>3</v>
      </c>
      <c r="Y330" s="7"/>
      <c r="Z330" s="7"/>
      <c r="AA330" s="7"/>
      <c r="AB330" s="7">
        <f t="shared" si="25"/>
        <v>1</v>
      </c>
      <c r="AC330" s="7">
        <f t="shared" si="27"/>
        <v>1</v>
      </c>
      <c r="AD330" s="7"/>
      <c r="AE330" s="7"/>
      <c r="AF330" s="7"/>
      <c r="AG330" s="7"/>
      <c r="AH330" s="7"/>
      <c r="AI330" s="7"/>
      <c r="AJ330" s="7"/>
      <c r="AK330" s="7"/>
      <c r="AL330" s="9"/>
      <c r="AM330" s="7" t="s">
        <v>71</v>
      </c>
      <c r="AN330" s="7" t="s">
        <v>71</v>
      </c>
      <c r="AO330" s="7"/>
    </row>
    <row r="331" spans="1:41" s="11" customFormat="1" x14ac:dyDescent="0.25">
      <c r="A331" s="2">
        <v>330</v>
      </c>
      <c r="B331" s="7" t="s">
        <v>354</v>
      </c>
      <c r="C331" s="7" t="s">
        <v>89</v>
      </c>
      <c r="D331" s="7" t="s">
        <v>358</v>
      </c>
      <c r="E331" s="7">
        <f>7+9+9+2</f>
        <v>27</v>
      </c>
      <c r="F331" s="8">
        <v>7</v>
      </c>
      <c r="G331" s="8">
        <v>9</v>
      </c>
      <c r="H331" s="7" t="s">
        <v>359</v>
      </c>
      <c r="I331" s="7">
        <v>9</v>
      </c>
      <c r="J331" s="7" t="s">
        <v>35</v>
      </c>
      <c r="K331" s="7">
        <v>2</v>
      </c>
      <c r="L331" s="7" t="s">
        <v>52</v>
      </c>
      <c r="M331" s="7">
        <f t="shared" si="26"/>
        <v>7</v>
      </c>
      <c r="N331" s="9" t="s">
        <v>34</v>
      </c>
      <c r="O331" s="7">
        <v>1</v>
      </c>
      <c r="P331" s="9" t="s">
        <v>63</v>
      </c>
      <c r="Q331" s="7" t="s">
        <v>38</v>
      </c>
      <c r="R331" s="7" t="s">
        <v>38</v>
      </c>
      <c r="S331" s="10" t="s">
        <v>1679</v>
      </c>
      <c r="T331" s="7"/>
      <c r="U331" s="7"/>
      <c r="V331" s="7"/>
      <c r="W331" s="7"/>
      <c r="X331" s="7">
        <v>3</v>
      </c>
      <c r="Y331" s="7"/>
      <c r="Z331" s="7"/>
      <c r="AA331" s="7"/>
      <c r="AB331" s="7">
        <f t="shared" si="25"/>
        <v>1</v>
      </c>
      <c r="AC331" s="7">
        <f t="shared" si="27"/>
        <v>1</v>
      </c>
      <c r="AD331" s="7"/>
      <c r="AE331" s="7"/>
      <c r="AF331" s="7"/>
      <c r="AG331" s="7"/>
      <c r="AH331" s="7"/>
      <c r="AI331" s="7"/>
      <c r="AJ331" s="7"/>
      <c r="AK331" s="7"/>
      <c r="AL331" s="9"/>
      <c r="AM331" s="7" t="s">
        <v>71</v>
      </c>
      <c r="AN331" s="7" t="s">
        <v>71</v>
      </c>
      <c r="AO331" s="12"/>
    </row>
    <row r="332" spans="1:41" s="11" customFormat="1" x14ac:dyDescent="0.25">
      <c r="A332" s="2">
        <v>331</v>
      </c>
      <c r="B332" s="7" t="s">
        <v>354</v>
      </c>
      <c r="C332" s="7" t="s">
        <v>89</v>
      </c>
      <c r="D332" s="7" t="s">
        <v>146</v>
      </c>
      <c r="E332" s="7">
        <v>5</v>
      </c>
      <c r="F332" s="8">
        <v>1</v>
      </c>
      <c r="G332" s="8">
        <v>2</v>
      </c>
      <c r="H332" s="9" t="s">
        <v>87</v>
      </c>
      <c r="I332" s="7">
        <v>2</v>
      </c>
      <c r="J332" s="9" t="s">
        <v>35</v>
      </c>
      <c r="K332" s="7">
        <v>1</v>
      </c>
      <c r="L332" s="7" t="s">
        <v>52</v>
      </c>
      <c r="M332" s="7">
        <f t="shared" si="26"/>
        <v>1</v>
      </c>
      <c r="N332" s="9" t="s">
        <v>36</v>
      </c>
      <c r="O332" s="7">
        <v>0</v>
      </c>
      <c r="P332" s="9" t="s">
        <v>63</v>
      </c>
      <c r="Q332" s="7" t="s">
        <v>38</v>
      </c>
      <c r="R332" s="7" t="s">
        <v>38</v>
      </c>
      <c r="S332" s="10" t="s">
        <v>1680</v>
      </c>
      <c r="T332" s="7"/>
      <c r="U332" s="7"/>
      <c r="V332" s="7"/>
      <c r="W332" s="7"/>
      <c r="X332" s="7">
        <v>3</v>
      </c>
      <c r="Y332" s="7"/>
      <c r="Z332" s="7"/>
      <c r="AA332" s="7"/>
      <c r="AB332" s="7">
        <f t="shared" si="25"/>
        <v>1</v>
      </c>
      <c r="AC332" s="7">
        <f t="shared" si="27"/>
        <v>1</v>
      </c>
      <c r="AD332" s="7"/>
      <c r="AE332" s="7"/>
      <c r="AF332" s="7"/>
      <c r="AG332" s="7"/>
      <c r="AH332" s="7"/>
      <c r="AI332" s="7"/>
      <c r="AJ332" s="7"/>
      <c r="AK332" s="7"/>
      <c r="AL332" s="9"/>
      <c r="AM332" s="7" t="s">
        <v>71</v>
      </c>
      <c r="AN332" s="7" t="s">
        <v>71</v>
      </c>
      <c r="AO332" s="12"/>
    </row>
    <row r="333" spans="1:41" s="11" customFormat="1" x14ac:dyDescent="0.25">
      <c r="A333" s="2">
        <v>332</v>
      </c>
      <c r="B333" s="7" t="s">
        <v>354</v>
      </c>
      <c r="C333" s="7" t="s">
        <v>89</v>
      </c>
      <c r="D333" s="7" t="s">
        <v>360</v>
      </c>
      <c r="E333" s="7">
        <f>9</f>
        <v>9</v>
      </c>
      <c r="F333" s="8">
        <v>2</v>
      </c>
      <c r="G333" s="8">
        <v>2</v>
      </c>
      <c r="H333" s="9" t="s">
        <v>87</v>
      </c>
      <c r="I333" s="7">
        <v>2</v>
      </c>
      <c r="J333" s="9" t="s">
        <v>35</v>
      </c>
      <c r="K333" s="7">
        <v>2</v>
      </c>
      <c r="L333" s="7" t="s">
        <v>52</v>
      </c>
      <c r="M333" s="7">
        <f t="shared" si="26"/>
        <v>2</v>
      </c>
      <c r="N333" s="9" t="s">
        <v>34</v>
      </c>
      <c r="O333" s="7">
        <v>0</v>
      </c>
      <c r="P333" s="9" t="s">
        <v>63</v>
      </c>
      <c r="Q333" s="7" t="s">
        <v>38</v>
      </c>
      <c r="R333" s="7" t="s">
        <v>38</v>
      </c>
      <c r="S333" s="10" t="s">
        <v>1681</v>
      </c>
      <c r="T333" s="7"/>
      <c r="U333" s="7"/>
      <c r="V333" s="7"/>
      <c r="W333" s="7"/>
      <c r="X333" s="7">
        <v>3</v>
      </c>
      <c r="Y333" s="7"/>
      <c r="Z333" s="7"/>
      <c r="AA333" s="7"/>
      <c r="AB333" s="7">
        <f t="shared" si="25"/>
        <v>1</v>
      </c>
      <c r="AC333" s="7">
        <f t="shared" si="27"/>
        <v>1</v>
      </c>
      <c r="AD333" s="7"/>
      <c r="AE333" s="7"/>
      <c r="AF333" s="7"/>
      <c r="AG333" s="7"/>
      <c r="AH333" s="7"/>
      <c r="AI333" s="7"/>
      <c r="AJ333" s="7"/>
      <c r="AK333" s="7"/>
      <c r="AL333" s="9"/>
      <c r="AM333" s="7" t="s">
        <v>71</v>
      </c>
      <c r="AN333" s="7" t="s">
        <v>71</v>
      </c>
      <c r="AO333" s="12"/>
    </row>
    <row r="334" spans="1:41" s="11" customFormat="1" x14ac:dyDescent="0.25">
      <c r="A334" s="2">
        <v>333</v>
      </c>
      <c r="B334" s="7" t="s">
        <v>354</v>
      </c>
      <c r="C334" s="7" t="s">
        <v>89</v>
      </c>
      <c r="D334" s="7" t="s">
        <v>196</v>
      </c>
      <c r="E334" s="7">
        <v>2</v>
      </c>
      <c r="F334" s="8">
        <v>2</v>
      </c>
      <c r="G334" s="8">
        <v>2</v>
      </c>
      <c r="H334" s="9" t="s">
        <v>87</v>
      </c>
      <c r="I334" s="7">
        <v>2</v>
      </c>
      <c r="J334" s="9" t="s">
        <v>70</v>
      </c>
      <c r="K334" s="7">
        <v>1</v>
      </c>
      <c r="L334" s="7" t="s">
        <v>52</v>
      </c>
      <c r="M334" s="7">
        <f t="shared" si="26"/>
        <v>2</v>
      </c>
      <c r="N334" s="9" t="s">
        <v>34</v>
      </c>
      <c r="O334" s="7">
        <v>0</v>
      </c>
      <c r="P334" s="9" t="s">
        <v>34</v>
      </c>
      <c r="Q334" s="7" t="s">
        <v>38</v>
      </c>
      <c r="R334" s="7" t="s">
        <v>38</v>
      </c>
      <c r="S334" s="10" t="s">
        <v>1682</v>
      </c>
      <c r="T334" s="7"/>
      <c r="U334" s="7"/>
      <c r="V334" s="7"/>
      <c r="W334" s="7"/>
      <c r="X334" s="7">
        <v>3</v>
      </c>
      <c r="Y334" s="7"/>
      <c r="Z334" s="7"/>
      <c r="AA334" s="7"/>
      <c r="AB334" s="7">
        <f t="shared" si="25"/>
        <v>1</v>
      </c>
      <c r="AC334" s="7">
        <f t="shared" si="27"/>
        <v>1</v>
      </c>
      <c r="AD334" s="7"/>
      <c r="AE334" s="7"/>
      <c r="AF334" s="7"/>
      <c r="AG334" s="7"/>
      <c r="AH334" s="7"/>
      <c r="AI334" s="7"/>
      <c r="AJ334" s="7"/>
      <c r="AK334" s="7"/>
      <c r="AL334" s="9"/>
      <c r="AM334" s="7" t="s">
        <v>71</v>
      </c>
      <c r="AN334" s="7" t="s">
        <v>71</v>
      </c>
      <c r="AO334" s="12"/>
    </row>
    <row r="335" spans="1:41" s="11" customFormat="1" ht="24" x14ac:dyDescent="0.25">
      <c r="A335" s="2">
        <v>334</v>
      </c>
      <c r="B335" s="7" t="s">
        <v>354</v>
      </c>
      <c r="C335" s="7" t="s">
        <v>119</v>
      </c>
      <c r="D335" s="7">
        <v>3</v>
      </c>
      <c r="E335" s="7">
        <v>3</v>
      </c>
      <c r="F335" s="8">
        <v>1</v>
      </c>
      <c r="G335" s="8">
        <v>1</v>
      </c>
      <c r="H335" s="8">
        <v>1</v>
      </c>
      <c r="I335" s="8">
        <v>1</v>
      </c>
      <c r="J335" s="9" t="s">
        <v>77</v>
      </c>
      <c r="K335" s="7">
        <v>1</v>
      </c>
      <c r="L335" s="7" t="s">
        <v>38</v>
      </c>
      <c r="M335" s="7">
        <f t="shared" si="26"/>
        <v>0</v>
      </c>
      <c r="N335" s="9" t="s">
        <v>36</v>
      </c>
      <c r="O335" s="7">
        <v>0</v>
      </c>
      <c r="P335" s="9" t="s">
        <v>63</v>
      </c>
      <c r="Q335" s="7" t="s">
        <v>38</v>
      </c>
      <c r="R335" s="7" t="s">
        <v>38</v>
      </c>
      <c r="S335" s="10" t="s">
        <v>1683</v>
      </c>
      <c r="T335" s="7"/>
      <c r="U335" s="7"/>
      <c r="V335" s="7"/>
      <c r="W335" s="7"/>
      <c r="X335" s="7">
        <v>3</v>
      </c>
      <c r="Y335" s="7"/>
      <c r="Z335" s="7"/>
      <c r="AA335" s="7"/>
      <c r="AB335" s="7">
        <f t="shared" si="25"/>
        <v>1</v>
      </c>
      <c r="AC335" s="7">
        <f t="shared" si="27"/>
        <v>0</v>
      </c>
      <c r="AD335" s="7"/>
      <c r="AE335" s="7">
        <v>1</v>
      </c>
      <c r="AF335" s="7" t="s">
        <v>40</v>
      </c>
      <c r="AG335" s="7" t="s">
        <v>162</v>
      </c>
      <c r="AH335" s="7"/>
      <c r="AI335" s="7"/>
      <c r="AJ335" s="7"/>
      <c r="AK335" s="7"/>
      <c r="AL335" s="9"/>
      <c r="AM335" s="7" t="s">
        <v>71</v>
      </c>
      <c r="AN335" s="7" t="s">
        <v>71</v>
      </c>
      <c r="AO335" s="7"/>
    </row>
    <row r="336" spans="1:41" s="11" customFormat="1" x14ac:dyDescent="0.25">
      <c r="A336" s="2">
        <v>335</v>
      </c>
      <c r="B336" s="7" t="s">
        <v>354</v>
      </c>
      <c r="C336" s="7" t="s">
        <v>78</v>
      </c>
      <c r="D336" s="7">
        <v>4</v>
      </c>
      <c r="E336" s="7">
        <v>4</v>
      </c>
      <c r="F336" s="8">
        <v>1</v>
      </c>
      <c r="G336" s="8">
        <v>1</v>
      </c>
      <c r="H336" s="8">
        <v>1</v>
      </c>
      <c r="I336" s="8">
        <v>1</v>
      </c>
      <c r="J336" s="9" t="s">
        <v>77</v>
      </c>
      <c r="K336" s="7">
        <v>1</v>
      </c>
      <c r="L336" s="7" t="s">
        <v>38</v>
      </c>
      <c r="M336" s="7">
        <f t="shared" si="26"/>
        <v>0</v>
      </c>
      <c r="N336" s="9" t="s">
        <v>36</v>
      </c>
      <c r="O336" s="7">
        <v>0</v>
      </c>
      <c r="P336" s="9" t="s">
        <v>33</v>
      </c>
      <c r="Q336" s="7" t="s">
        <v>38</v>
      </c>
      <c r="R336" s="7" t="s">
        <v>38</v>
      </c>
      <c r="S336" s="10" t="s">
        <v>1684</v>
      </c>
      <c r="T336" s="7">
        <v>10</v>
      </c>
      <c r="U336" s="7">
        <v>10</v>
      </c>
      <c r="V336" s="7">
        <v>80</v>
      </c>
      <c r="W336" s="7" t="s">
        <v>88</v>
      </c>
      <c r="X336" s="7"/>
      <c r="Y336" s="7"/>
      <c r="Z336" s="7"/>
      <c r="AA336" s="7"/>
      <c r="AB336" s="7">
        <f t="shared" si="25"/>
        <v>3.3333333333333335</v>
      </c>
      <c r="AC336" s="7">
        <f t="shared" si="27"/>
        <v>0</v>
      </c>
      <c r="AD336" s="7"/>
      <c r="AE336" s="7"/>
      <c r="AF336" s="7"/>
      <c r="AG336" s="7"/>
      <c r="AH336" s="7"/>
      <c r="AI336" s="7"/>
      <c r="AJ336" s="7"/>
      <c r="AK336" s="7" t="s">
        <v>252</v>
      </c>
      <c r="AL336" s="9"/>
      <c r="AM336" s="7" t="s">
        <v>42</v>
      </c>
      <c r="AN336" s="7" t="s">
        <v>42</v>
      </c>
      <c r="AO336" s="10" t="s">
        <v>2535</v>
      </c>
    </row>
    <row r="337" spans="1:41" s="11" customFormat="1" x14ac:dyDescent="0.25">
      <c r="A337" s="2">
        <v>336</v>
      </c>
      <c r="B337" s="7" t="s">
        <v>354</v>
      </c>
      <c r="C337" s="7" t="s">
        <v>50</v>
      </c>
      <c r="D337" s="7">
        <v>9</v>
      </c>
      <c r="E337" s="7">
        <v>9</v>
      </c>
      <c r="F337" s="8">
        <v>1</v>
      </c>
      <c r="G337" s="8">
        <v>1</v>
      </c>
      <c r="H337" s="7">
        <v>1</v>
      </c>
      <c r="I337" s="7">
        <v>1</v>
      </c>
      <c r="J337" s="9" t="s">
        <v>176</v>
      </c>
      <c r="K337" s="7">
        <v>2</v>
      </c>
      <c r="L337" s="7" t="s">
        <v>52</v>
      </c>
      <c r="M337" s="7">
        <f t="shared" si="26"/>
        <v>1</v>
      </c>
      <c r="N337" s="9" t="s">
        <v>177</v>
      </c>
      <c r="O337" s="7">
        <v>0</v>
      </c>
      <c r="P337" s="9" t="s">
        <v>63</v>
      </c>
      <c r="Q337" s="7" t="s">
        <v>38</v>
      </c>
      <c r="R337" s="7" t="s">
        <v>52</v>
      </c>
      <c r="S337" s="10" t="s">
        <v>1685</v>
      </c>
      <c r="T337" s="7"/>
      <c r="U337" s="7"/>
      <c r="V337" s="7"/>
      <c r="W337" s="7"/>
      <c r="X337" s="7"/>
      <c r="Y337" s="7" t="s">
        <v>92</v>
      </c>
      <c r="Z337" s="7">
        <v>3</v>
      </c>
      <c r="AA337" s="7" t="s">
        <v>76</v>
      </c>
      <c r="AB337" s="7">
        <f t="shared" si="25"/>
        <v>1</v>
      </c>
      <c r="AC337" s="7">
        <f t="shared" si="27"/>
        <v>1</v>
      </c>
      <c r="AD337" s="7"/>
      <c r="AE337" s="7"/>
      <c r="AF337" s="7"/>
      <c r="AG337" s="7"/>
      <c r="AH337" s="7"/>
      <c r="AI337" s="7"/>
      <c r="AJ337" s="7"/>
      <c r="AK337" s="7"/>
      <c r="AL337" s="9"/>
      <c r="AM337" s="7" t="s">
        <v>71</v>
      </c>
      <c r="AN337" s="7" t="s">
        <v>71</v>
      </c>
      <c r="AO337" s="12"/>
    </row>
    <row r="338" spans="1:41" s="11" customFormat="1" x14ac:dyDescent="0.25">
      <c r="A338" s="2">
        <v>337</v>
      </c>
      <c r="B338" s="7" t="s">
        <v>354</v>
      </c>
      <c r="C338" s="7" t="s">
        <v>100</v>
      </c>
      <c r="D338" s="7">
        <v>12</v>
      </c>
      <c r="E338" s="7">
        <v>12</v>
      </c>
      <c r="F338" s="8">
        <v>1</v>
      </c>
      <c r="G338" s="8">
        <v>1</v>
      </c>
      <c r="H338" s="8">
        <v>1</v>
      </c>
      <c r="I338" s="8">
        <v>1</v>
      </c>
      <c r="J338" s="9" t="s">
        <v>176</v>
      </c>
      <c r="K338" s="9" t="s">
        <v>268</v>
      </c>
      <c r="L338" s="7" t="s">
        <v>52</v>
      </c>
      <c r="M338" s="7">
        <f t="shared" si="26"/>
        <v>1</v>
      </c>
      <c r="N338" s="9" t="s">
        <v>109</v>
      </c>
      <c r="O338" s="7">
        <v>0</v>
      </c>
      <c r="P338" s="9" t="s">
        <v>63</v>
      </c>
      <c r="Q338" s="9" t="s">
        <v>38</v>
      </c>
      <c r="R338" s="9" t="s">
        <v>38</v>
      </c>
      <c r="S338" s="13" t="s">
        <v>1686</v>
      </c>
      <c r="T338" s="7"/>
      <c r="U338" s="7"/>
      <c r="V338" s="7"/>
      <c r="W338" s="7"/>
      <c r="X338" s="7">
        <v>3</v>
      </c>
      <c r="Y338" s="7"/>
      <c r="Z338" s="7"/>
      <c r="AA338" s="7"/>
      <c r="AB338" s="7">
        <f t="shared" si="25"/>
        <v>1</v>
      </c>
      <c r="AC338" s="7">
        <f t="shared" si="27"/>
        <v>1</v>
      </c>
      <c r="AD338" s="7"/>
      <c r="AE338" s="7"/>
      <c r="AF338" s="7"/>
      <c r="AG338" s="7"/>
      <c r="AH338" s="7"/>
      <c r="AI338" s="7"/>
      <c r="AJ338" s="7"/>
      <c r="AK338" s="7"/>
      <c r="AL338" s="9"/>
      <c r="AM338" s="7" t="s">
        <v>71</v>
      </c>
      <c r="AN338" s="7" t="s">
        <v>71</v>
      </c>
      <c r="AO338" s="7"/>
    </row>
    <row r="339" spans="1:41" s="11" customFormat="1" ht="24" x14ac:dyDescent="0.25">
      <c r="A339" s="2">
        <v>338</v>
      </c>
      <c r="B339" s="7" t="s">
        <v>354</v>
      </c>
      <c r="C339" s="7" t="s">
        <v>50</v>
      </c>
      <c r="D339" s="7">
        <v>197</v>
      </c>
      <c r="E339" s="7">
        <v>197</v>
      </c>
      <c r="F339" s="8">
        <v>1</v>
      </c>
      <c r="G339" s="8">
        <v>4</v>
      </c>
      <c r="H339" s="7">
        <v>4</v>
      </c>
      <c r="I339" s="7">
        <v>4</v>
      </c>
      <c r="J339" s="9" t="s">
        <v>219</v>
      </c>
      <c r="K339" s="7">
        <v>13</v>
      </c>
      <c r="L339" s="7" t="s">
        <v>52</v>
      </c>
      <c r="M339" s="7">
        <f t="shared" si="26"/>
        <v>1</v>
      </c>
      <c r="N339" s="9" t="s">
        <v>34</v>
      </c>
      <c r="O339" s="7">
        <v>1</v>
      </c>
      <c r="P339" s="9" t="s">
        <v>37</v>
      </c>
      <c r="Q339" s="7" t="s">
        <v>38</v>
      </c>
      <c r="R339" s="7" t="s">
        <v>52</v>
      </c>
      <c r="S339" s="10" t="s">
        <v>1687</v>
      </c>
      <c r="T339" s="7"/>
      <c r="U339" s="7"/>
      <c r="V339" s="7"/>
      <c r="W339" s="7"/>
      <c r="X339" s="7"/>
      <c r="Y339" s="7">
        <v>20</v>
      </c>
      <c r="Z339" s="7">
        <v>20</v>
      </c>
      <c r="AA339" s="7">
        <v>180</v>
      </c>
      <c r="AB339" s="7">
        <f t="shared" si="25"/>
        <v>6.666666666666667</v>
      </c>
      <c r="AC339" s="7">
        <f t="shared" si="27"/>
        <v>6.666666666666667</v>
      </c>
      <c r="AD339" s="7"/>
      <c r="AE339" s="7"/>
      <c r="AF339" s="7"/>
      <c r="AG339" s="7"/>
      <c r="AH339" s="7"/>
      <c r="AI339" s="7"/>
      <c r="AJ339" s="7"/>
      <c r="AK339" s="7"/>
      <c r="AL339" s="9"/>
      <c r="AM339" s="7" t="s">
        <v>362</v>
      </c>
      <c r="AN339" s="7" t="s">
        <v>662</v>
      </c>
      <c r="AO339" s="10"/>
    </row>
    <row r="340" spans="1:41" s="11" customFormat="1" ht="24" x14ac:dyDescent="0.25">
      <c r="A340" s="2">
        <v>339</v>
      </c>
      <c r="B340" s="7" t="s">
        <v>354</v>
      </c>
      <c r="C340" s="7" t="s">
        <v>100</v>
      </c>
      <c r="D340" s="7">
        <v>113</v>
      </c>
      <c r="E340" s="7">
        <v>113</v>
      </c>
      <c r="F340" s="8">
        <v>1</v>
      </c>
      <c r="G340" s="8">
        <v>1</v>
      </c>
      <c r="H340" s="8">
        <v>1</v>
      </c>
      <c r="I340" s="8">
        <v>1</v>
      </c>
      <c r="J340" s="9" t="s">
        <v>363</v>
      </c>
      <c r="K340" s="7">
        <v>13</v>
      </c>
      <c r="L340" s="7" t="s">
        <v>52</v>
      </c>
      <c r="M340" s="7">
        <f t="shared" si="26"/>
        <v>1</v>
      </c>
      <c r="N340" s="9" t="s">
        <v>82</v>
      </c>
      <c r="O340" s="7">
        <v>0</v>
      </c>
      <c r="P340" s="9" t="s">
        <v>33</v>
      </c>
      <c r="Q340" s="7" t="s">
        <v>38</v>
      </c>
      <c r="R340" s="7" t="s">
        <v>38</v>
      </c>
      <c r="S340" s="10" t="s">
        <v>1688</v>
      </c>
      <c r="T340" s="7"/>
      <c r="U340" s="7"/>
      <c r="V340" s="7"/>
      <c r="W340" s="7"/>
      <c r="X340" s="7">
        <v>5</v>
      </c>
      <c r="Y340" s="7"/>
      <c r="Z340" s="7"/>
      <c r="AA340" s="7"/>
      <c r="AB340" s="7">
        <f t="shared" si="25"/>
        <v>1.6666666666666667</v>
      </c>
      <c r="AC340" s="7">
        <f t="shared" si="27"/>
        <v>1.6666666666666667</v>
      </c>
      <c r="AD340" s="7"/>
      <c r="AE340" s="7"/>
      <c r="AF340" s="7"/>
      <c r="AG340" s="7"/>
      <c r="AH340" s="7"/>
      <c r="AI340" s="7"/>
      <c r="AJ340" s="10" t="s">
        <v>2345</v>
      </c>
      <c r="AK340" s="7"/>
      <c r="AL340" s="9"/>
      <c r="AM340" s="7" t="s">
        <v>364</v>
      </c>
      <c r="AN340" s="7" t="s">
        <v>662</v>
      </c>
      <c r="AO340" s="10" t="s">
        <v>2536</v>
      </c>
    </row>
    <row r="341" spans="1:41" s="11" customFormat="1" x14ac:dyDescent="0.25">
      <c r="A341" s="2">
        <v>340</v>
      </c>
      <c r="B341" s="7" t="s">
        <v>354</v>
      </c>
      <c r="C341" s="7" t="s">
        <v>100</v>
      </c>
      <c r="D341" s="7">
        <v>37</v>
      </c>
      <c r="E341" s="7">
        <v>37</v>
      </c>
      <c r="F341" s="8">
        <v>1</v>
      </c>
      <c r="G341" s="8">
        <v>1</v>
      </c>
      <c r="H341" s="7">
        <v>1</v>
      </c>
      <c r="I341" s="7">
        <v>1</v>
      </c>
      <c r="J341" s="9" t="s">
        <v>363</v>
      </c>
      <c r="K341" s="7">
        <v>13</v>
      </c>
      <c r="L341" s="7" t="s">
        <v>52</v>
      </c>
      <c r="M341" s="7">
        <f t="shared" si="26"/>
        <v>1</v>
      </c>
      <c r="N341" s="9" t="s">
        <v>82</v>
      </c>
      <c r="O341" s="7">
        <v>0</v>
      </c>
      <c r="P341" s="9" t="s">
        <v>33</v>
      </c>
      <c r="Q341" s="7" t="s">
        <v>52</v>
      </c>
      <c r="R341" s="7" t="s">
        <v>38</v>
      </c>
      <c r="S341" s="10" t="s">
        <v>1689</v>
      </c>
      <c r="T341" s="7"/>
      <c r="U341" s="7"/>
      <c r="V341" s="7"/>
      <c r="W341" s="7"/>
      <c r="X341" s="7">
        <v>3</v>
      </c>
      <c r="Y341" s="7"/>
      <c r="Z341" s="7"/>
      <c r="AA341" s="7"/>
      <c r="AB341" s="7">
        <f t="shared" si="25"/>
        <v>1</v>
      </c>
      <c r="AC341" s="7">
        <f t="shared" si="27"/>
        <v>1</v>
      </c>
      <c r="AD341" s="7"/>
      <c r="AE341" s="7"/>
      <c r="AF341" s="7"/>
      <c r="AG341" s="7"/>
      <c r="AH341" s="7"/>
      <c r="AI341" s="7"/>
      <c r="AJ341" s="7"/>
      <c r="AK341" s="7"/>
      <c r="AL341" s="9"/>
      <c r="AM341" s="7" t="s">
        <v>71</v>
      </c>
      <c r="AN341" s="7" t="s">
        <v>71</v>
      </c>
      <c r="AO341" s="12"/>
    </row>
    <row r="342" spans="1:41" s="11" customFormat="1" x14ac:dyDescent="0.25">
      <c r="A342" s="2">
        <v>341</v>
      </c>
      <c r="B342" s="7" t="s">
        <v>354</v>
      </c>
      <c r="C342" s="7" t="s">
        <v>50</v>
      </c>
      <c r="D342" s="7">
        <v>9</v>
      </c>
      <c r="E342" s="7">
        <v>9</v>
      </c>
      <c r="F342" s="8">
        <v>1</v>
      </c>
      <c r="G342" s="8">
        <v>1</v>
      </c>
      <c r="H342" s="8">
        <v>1</v>
      </c>
      <c r="I342" s="8">
        <v>1</v>
      </c>
      <c r="J342" s="9" t="s">
        <v>70</v>
      </c>
      <c r="K342" s="7">
        <v>1</v>
      </c>
      <c r="L342" s="7" t="s">
        <v>52</v>
      </c>
      <c r="M342" s="7">
        <f t="shared" si="26"/>
        <v>1</v>
      </c>
      <c r="N342" s="9" t="s">
        <v>34</v>
      </c>
      <c r="O342" s="7">
        <v>0</v>
      </c>
      <c r="P342" s="9" t="s">
        <v>63</v>
      </c>
      <c r="Q342" s="7" t="s">
        <v>38</v>
      </c>
      <c r="R342" s="7" t="s">
        <v>38</v>
      </c>
      <c r="S342" s="10" t="s">
        <v>1690</v>
      </c>
      <c r="T342" s="7"/>
      <c r="U342" s="7"/>
      <c r="V342" s="7"/>
      <c r="W342" s="7"/>
      <c r="X342" s="7"/>
      <c r="Y342" s="7">
        <v>9</v>
      </c>
      <c r="Z342" s="7">
        <v>9</v>
      </c>
      <c r="AA342" s="7">
        <v>100</v>
      </c>
      <c r="AB342" s="7">
        <f t="shared" si="25"/>
        <v>3</v>
      </c>
      <c r="AC342" s="7">
        <f t="shared" si="27"/>
        <v>3</v>
      </c>
      <c r="AD342" s="7"/>
      <c r="AE342" s="7"/>
      <c r="AF342" s="7"/>
      <c r="AG342" s="7"/>
      <c r="AH342" s="7"/>
      <c r="AI342" s="7"/>
      <c r="AJ342" s="7"/>
      <c r="AK342" s="7"/>
      <c r="AL342" s="9"/>
      <c r="AM342" s="7" t="s">
        <v>71</v>
      </c>
      <c r="AN342" s="7" t="s">
        <v>71</v>
      </c>
      <c r="AO342" s="12"/>
    </row>
    <row r="343" spans="1:41" s="11" customFormat="1" ht="24" x14ac:dyDescent="0.25">
      <c r="A343" s="2">
        <v>342</v>
      </c>
      <c r="B343" s="7" t="s">
        <v>354</v>
      </c>
      <c r="C343" s="7" t="s">
        <v>100</v>
      </c>
      <c r="D343" s="7">
        <v>69</v>
      </c>
      <c r="E343" s="7">
        <v>69</v>
      </c>
      <c r="F343" s="8">
        <v>1</v>
      </c>
      <c r="G343" s="8">
        <v>1</v>
      </c>
      <c r="H343" s="7">
        <v>1</v>
      </c>
      <c r="I343" s="7">
        <v>1</v>
      </c>
      <c r="J343" s="9" t="s">
        <v>363</v>
      </c>
      <c r="K343" s="7">
        <v>13</v>
      </c>
      <c r="L343" s="7" t="s">
        <v>52</v>
      </c>
      <c r="M343" s="7">
        <f t="shared" si="26"/>
        <v>1</v>
      </c>
      <c r="N343" s="9" t="s">
        <v>36</v>
      </c>
      <c r="O343" s="7">
        <v>0</v>
      </c>
      <c r="P343" s="9" t="s">
        <v>37</v>
      </c>
      <c r="Q343" s="7" t="s">
        <v>38</v>
      </c>
      <c r="R343" s="7" t="s">
        <v>38</v>
      </c>
      <c r="S343" s="10" t="s">
        <v>1691</v>
      </c>
      <c r="T343" s="7"/>
      <c r="U343" s="7"/>
      <c r="V343" s="7"/>
      <c r="W343" s="7"/>
      <c r="X343" s="7">
        <v>3</v>
      </c>
      <c r="Y343" s="7"/>
      <c r="Z343" s="7"/>
      <c r="AA343" s="7"/>
      <c r="AB343" s="7">
        <f t="shared" si="25"/>
        <v>1</v>
      </c>
      <c r="AC343" s="7">
        <f t="shared" si="27"/>
        <v>1</v>
      </c>
      <c r="AD343" s="7"/>
      <c r="AE343" s="7"/>
      <c r="AF343" s="7"/>
      <c r="AG343" s="7"/>
      <c r="AH343" s="7"/>
      <c r="AI343" s="7"/>
      <c r="AJ343" s="10" t="s">
        <v>2346</v>
      </c>
      <c r="AK343" s="7"/>
      <c r="AL343" s="9"/>
      <c r="AM343" s="7" t="s">
        <v>364</v>
      </c>
      <c r="AN343" s="7" t="s">
        <v>662</v>
      </c>
      <c r="AO343" s="10"/>
    </row>
    <row r="344" spans="1:41" s="11" customFormat="1" ht="24" x14ac:dyDescent="0.25">
      <c r="A344" s="2">
        <v>343</v>
      </c>
      <c r="B344" s="7" t="s">
        <v>354</v>
      </c>
      <c r="C344" s="7" t="s">
        <v>50</v>
      </c>
      <c r="D344" s="7">
        <v>83</v>
      </c>
      <c r="E344" s="7">
        <v>83</v>
      </c>
      <c r="F344" s="8">
        <v>1</v>
      </c>
      <c r="G344" s="14">
        <v>1</v>
      </c>
      <c r="H344" s="9">
        <v>1</v>
      </c>
      <c r="I344" s="9">
        <v>1</v>
      </c>
      <c r="J344" s="9" t="s">
        <v>219</v>
      </c>
      <c r="K344" s="7">
        <v>2</v>
      </c>
      <c r="L344" s="7" t="s">
        <v>52</v>
      </c>
      <c r="M344" s="7">
        <f t="shared" si="26"/>
        <v>1</v>
      </c>
      <c r="N344" s="9" t="s">
        <v>34</v>
      </c>
      <c r="O344" s="7">
        <v>0</v>
      </c>
      <c r="P344" s="9" t="s">
        <v>63</v>
      </c>
      <c r="Q344" s="7" t="s">
        <v>38</v>
      </c>
      <c r="R344" s="7" t="s">
        <v>38</v>
      </c>
      <c r="S344" s="10" t="s">
        <v>1692</v>
      </c>
      <c r="T344" s="7"/>
      <c r="U344" s="7"/>
      <c r="V344" s="7"/>
      <c r="W344" s="7"/>
      <c r="X344" s="7"/>
      <c r="Y344" s="7">
        <v>15</v>
      </c>
      <c r="Z344" s="7">
        <v>15</v>
      </c>
      <c r="AA344" s="7">
        <v>170</v>
      </c>
      <c r="AB344" s="7">
        <f t="shared" si="25"/>
        <v>5</v>
      </c>
      <c r="AC344" s="7">
        <f t="shared" si="27"/>
        <v>5</v>
      </c>
      <c r="AD344" s="7"/>
      <c r="AE344" s="7"/>
      <c r="AF344" s="7"/>
      <c r="AG344" s="7"/>
      <c r="AH344" s="7"/>
      <c r="AI344" s="7"/>
      <c r="AJ344" s="7"/>
      <c r="AK344" s="7"/>
      <c r="AL344" s="9"/>
      <c r="AM344" s="7" t="s">
        <v>362</v>
      </c>
      <c r="AN344" s="7" t="s">
        <v>662</v>
      </c>
      <c r="AO344" s="10" t="s">
        <v>2537</v>
      </c>
    </row>
    <row r="345" spans="1:41" s="11" customFormat="1" x14ac:dyDescent="0.25">
      <c r="A345" s="2">
        <v>344</v>
      </c>
      <c r="B345" s="7" t="s">
        <v>354</v>
      </c>
      <c r="C345" s="7" t="s">
        <v>89</v>
      </c>
      <c r="D345" s="7" t="s">
        <v>365</v>
      </c>
      <c r="E345" s="7">
        <v>56</v>
      </c>
      <c r="F345" s="8">
        <v>1</v>
      </c>
      <c r="G345" s="8">
        <v>2</v>
      </c>
      <c r="H345" s="7" t="s">
        <v>87</v>
      </c>
      <c r="I345" s="7">
        <v>2</v>
      </c>
      <c r="J345" s="9" t="s">
        <v>219</v>
      </c>
      <c r="K345" s="7">
        <v>2</v>
      </c>
      <c r="L345" s="7" t="s">
        <v>52</v>
      </c>
      <c r="M345" s="7">
        <f t="shared" si="26"/>
        <v>1</v>
      </c>
      <c r="N345" s="9" t="s">
        <v>34</v>
      </c>
      <c r="O345" s="7">
        <v>0</v>
      </c>
      <c r="P345" s="9" t="s">
        <v>37</v>
      </c>
      <c r="Q345" s="7" t="s">
        <v>52</v>
      </c>
      <c r="R345" s="7" t="s">
        <v>38</v>
      </c>
      <c r="S345" s="10" t="s">
        <v>1693</v>
      </c>
      <c r="T345" s="7"/>
      <c r="U345" s="7"/>
      <c r="V345" s="7"/>
      <c r="W345" s="7"/>
      <c r="X345" s="7">
        <v>5</v>
      </c>
      <c r="Y345" s="7"/>
      <c r="Z345" s="7"/>
      <c r="AA345" s="7"/>
      <c r="AB345" s="7">
        <f t="shared" si="25"/>
        <v>1.6666666666666667</v>
      </c>
      <c r="AC345" s="7">
        <f t="shared" si="27"/>
        <v>1.6666666666666667</v>
      </c>
      <c r="AD345" s="7"/>
      <c r="AE345" s="7">
        <v>1</v>
      </c>
      <c r="AF345" s="7"/>
      <c r="AG345" s="7"/>
      <c r="AH345" s="7"/>
      <c r="AI345" s="7"/>
      <c r="AJ345" s="7"/>
      <c r="AK345" s="7"/>
      <c r="AL345" s="9"/>
      <c r="AM345" s="7" t="s">
        <v>366</v>
      </c>
      <c r="AN345" s="7" t="s">
        <v>71</v>
      </c>
      <c r="AO345" s="10" t="s">
        <v>2538</v>
      </c>
    </row>
    <row r="346" spans="1:41" s="11" customFormat="1" x14ac:dyDescent="0.25">
      <c r="A346" s="2">
        <v>345</v>
      </c>
      <c r="B346" s="7" t="s">
        <v>354</v>
      </c>
      <c r="C346" s="7" t="s">
        <v>100</v>
      </c>
      <c r="D346" s="7">
        <v>237</v>
      </c>
      <c r="E346" s="7">
        <v>237</v>
      </c>
      <c r="F346" s="8">
        <v>1</v>
      </c>
      <c r="G346" s="8">
        <v>1</v>
      </c>
      <c r="H346" s="9">
        <v>1</v>
      </c>
      <c r="I346" s="9">
        <v>1</v>
      </c>
      <c r="J346" s="9" t="s">
        <v>219</v>
      </c>
      <c r="K346" s="7">
        <v>4</v>
      </c>
      <c r="L346" s="7" t="s">
        <v>52</v>
      </c>
      <c r="M346" s="7">
        <f t="shared" si="26"/>
        <v>1</v>
      </c>
      <c r="N346" s="9" t="s">
        <v>34</v>
      </c>
      <c r="O346" s="7">
        <v>0</v>
      </c>
      <c r="P346" s="9" t="s">
        <v>37</v>
      </c>
      <c r="Q346" s="7" t="s">
        <v>38</v>
      </c>
      <c r="R346" s="7" t="s">
        <v>38</v>
      </c>
      <c r="S346" s="10" t="s">
        <v>1694</v>
      </c>
      <c r="T346" s="7"/>
      <c r="U346" s="7"/>
      <c r="V346" s="7"/>
      <c r="W346" s="7"/>
      <c r="X346" s="7">
        <v>5</v>
      </c>
      <c r="Y346" s="7"/>
      <c r="Z346" s="7"/>
      <c r="AA346" s="7"/>
      <c r="AB346" s="7">
        <f t="shared" si="25"/>
        <v>1.6666666666666667</v>
      </c>
      <c r="AC346" s="7">
        <f t="shared" si="27"/>
        <v>1.6666666666666667</v>
      </c>
      <c r="AD346" s="7"/>
      <c r="AE346" s="7"/>
      <c r="AF346" s="7"/>
      <c r="AG346" s="7"/>
      <c r="AH346" s="7"/>
      <c r="AI346" s="7"/>
      <c r="AJ346" s="7"/>
      <c r="AK346" s="7"/>
      <c r="AL346" s="9"/>
      <c r="AM346" s="7" t="s">
        <v>71</v>
      </c>
      <c r="AN346" s="7" t="s">
        <v>71</v>
      </c>
      <c r="AO346" s="12"/>
    </row>
    <row r="347" spans="1:41" s="11" customFormat="1" x14ac:dyDescent="0.25">
      <c r="A347" s="2">
        <v>346</v>
      </c>
      <c r="B347" s="7" t="s">
        <v>354</v>
      </c>
      <c r="C347" s="7" t="s">
        <v>100</v>
      </c>
      <c r="D347" s="7">
        <v>12</v>
      </c>
      <c r="E347" s="7">
        <v>12</v>
      </c>
      <c r="F347" s="8">
        <v>1</v>
      </c>
      <c r="G347" s="8">
        <v>1</v>
      </c>
      <c r="H347" s="7">
        <v>1</v>
      </c>
      <c r="I347" s="7">
        <v>1</v>
      </c>
      <c r="J347" s="9" t="s">
        <v>219</v>
      </c>
      <c r="K347" s="7">
        <v>5</v>
      </c>
      <c r="L347" s="7" t="s">
        <v>52</v>
      </c>
      <c r="M347" s="7">
        <f t="shared" si="26"/>
        <v>1</v>
      </c>
      <c r="N347" s="9" t="s">
        <v>37</v>
      </c>
      <c r="O347" s="7">
        <v>0</v>
      </c>
      <c r="P347" s="9" t="s">
        <v>63</v>
      </c>
      <c r="Q347" s="7" t="s">
        <v>38</v>
      </c>
      <c r="R347" s="7" t="s">
        <v>52</v>
      </c>
      <c r="S347" s="10" t="s">
        <v>1588</v>
      </c>
      <c r="T347" s="7"/>
      <c r="U347" s="7"/>
      <c r="V347" s="7"/>
      <c r="W347" s="7"/>
      <c r="X347" s="7">
        <v>3</v>
      </c>
      <c r="Y347" s="7"/>
      <c r="Z347" s="7"/>
      <c r="AA347" s="7"/>
      <c r="AB347" s="7">
        <f t="shared" si="25"/>
        <v>1</v>
      </c>
      <c r="AC347" s="7">
        <f t="shared" si="27"/>
        <v>1</v>
      </c>
      <c r="AD347" s="7"/>
      <c r="AE347" s="7"/>
      <c r="AF347" s="7"/>
      <c r="AG347" s="7"/>
      <c r="AH347" s="7"/>
      <c r="AI347" s="7"/>
      <c r="AJ347" s="7"/>
      <c r="AK347" s="7"/>
      <c r="AL347" s="9"/>
      <c r="AM347" s="7" t="s">
        <v>71</v>
      </c>
      <c r="AN347" s="7" t="s">
        <v>71</v>
      </c>
      <c r="AO347" s="12"/>
    </row>
    <row r="348" spans="1:41" s="11" customFormat="1" x14ac:dyDescent="0.25">
      <c r="A348" s="2">
        <v>347</v>
      </c>
      <c r="B348" s="7" t="s">
        <v>354</v>
      </c>
      <c r="C348" s="7" t="s">
        <v>100</v>
      </c>
      <c r="D348" s="7">
        <v>14</v>
      </c>
      <c r="E348" s="7">
        <v>14</v>
      </c>
      <c r="F348" s="8">
        <v>1</v>
      </c>
      <c r="G348" s="8">
        <v>1</v>
      </c>
      <c r="H348" s="9">
        <v>1</v>
      </c>
      <c r="I348" s="9">
        <v>1</v>
      </c>
      <c r="J348" s="9" t="s">
        <v>219</v>
      </c>
      <c r="K348" s="7">
        <v>1</v>
      </c>
      <c r="L348" s="7" t="s">
        <v>52</v>
      </c>
      <c r="M348" s="7">
        <f t="shared" si="26"/>
        <v>1</v>
      </c>
      <c r="N348" s="9" t="s">
        <v>34</v>
      </c>
      <c r="O348" s="7">
        <v>0</v>
      </c>
      <c r="P348" s="9" t="s">
        <v>63</v>
      </c>
      <c r="Q348" s="7" t="s">
        <v>38</v>
      </c>
      <c r="R348" s="7" t="s">
        <v>38</v>
      </c>
      <c r="S348" s="10" t="s">
        <v>1695</v>
      </c>
      <c r="T348" s="7"/>
      <c r="U348" s="7"/>
      <c r="V348" s="7"/>
      <c r="W348" s="7"/>
      <c r="X348" s="7">
        <v>3</v>
      </c>
      <c r="Y348" s="7"/>
      <c r="Z348" s="7"/>
      <c r="AA348" s="7"/>
      <c r="AB348" s="7">
        <f t="shared" si="25"/>
        <v>1</v>
      </c>
      <c r="AC348" s="7">
        <f t="shared" si="27"/>
        <v>1</v>
      </c>
      <c r="AD348" s="7"/>
      <c r="AE348" s="7"/>
      <c r="AF348" s="7"/>
      <c r="AG348" s="7"/>
      <c r="AH348" s="7"/>
      <c r="AI348" s="7"/>
      <c r="AJ348" s="7"/>
      <c r="AK348" s="7"/>
      <c r="AL348" s="9"/>
      <c r="AM348" s="7" t="s">
        <v>71</v>
      </c>
      <c r="AN348" s="7" t="s">
        <v>71</v>
      </c>
      <c r="AO348" s="12"/>
    </row>
    <row r="349" spans="1:41" s="11" customFormat="1" x14ac:dyDescent="0.25">
      <c r="A349" s="2">
        <v>348</v>
      </c>
      <c r="B349" s="7" t="s">
        <v>354</v>
      </c>
      <c r="C349" s="7" t="s">
        <v>100</v>
      </c>
      <c r="D349" s="7">
        <v>5</v>
      </c>
      <c r="E349" s="7">
        <v>5</v>
      </c>
      <c r="F349" s="8">
        <v>1</v>
      </c>
      <c r="G349" s="8">
        <v>1</v>
      </c>
      <c r="H349" s="7">
        <v>1</v>
      </c>
      <c r="I349" s="7">
        <v>1</v>
      </c>
      <c r="J349" s="9" t="s">
        <v>219</v>
      </c>
      <c r="K349" s="7">
        <v>5</v>
      </c>
      <c r="L349" s="7" t="s">
        <v>52</v>
      </c>
      <c r="M349" s="7">
        <f t="shared" si="26"/>
        <v>1</v>
      </c>
      <c r="N349" s="9" t="s">
        <v>34</v>
      </c>
      <c r="O349" s="7">
        <v>0</v>
      </c>
      <c r="P349" s="9" t="s">
        <v>63</v>
      </c>
      <c r="Q349" s="7" t="s">
        <v>52</v>
      </c>
      <c r="R349" s="7" t="s">
        <v>38</v>
      </c>
      <c r="S349" s="7"/>
      <c r="T349" s="7"/>
      <c r="U349" s="7"/>
      <c r="V349" s="7"/>
      <c r="W349" s="7"/>
      <c r="X349" s="7">
        <v>3</v>
      </c>
      <c r="Y349" s="7"/>
      <c r="Z349" s="7"/>
      <c r="AA349" s="7"/>
      <c r="AB349" s="7">
        <f t="shared" si="25"/>
        <v>1</v>
      </c>
      <c r="AC349" s="7">
        <f t="shared" si="27"/>
        <v>1</v>
      </c>
      <c r="AD349" s="7"/>
      <c r="AE349" s="7"/>
      <c r="AF349" s="7"/>
      <c r="AG349" s="7"/>
      <c r="AH349" s="7"/>
      <c r="AI349" s="7"/>
      <c r="AJ349" s="7"/>
      <c r="AK349" s="7"/>
      <c r="AL349" s="9"/>
      <c r="AM349" s="7" t="s">
        <v>71</v>
      </c>
      <c r="AN349" s="7" t="s">
        <v>71</v>
      </c>
      <c r="AO349" s="12"/>
    </row>
    <row r="350" spans="1:41" s="11" customFormat="1" x14ac:dyDescent="0.25">
      <c r="A350" s="2">
        <v>349</v>
      </c>
      <c r="B350" s="7" t="s">
        <v>354</v>
      </c>
      <c r="C350" s="7" t="s">
        <v>100</v>
      </c>
      <c r="D350" s="7">
        <v>4</v>
      </c>
      <c r="E350" s="7">
        <v>4</v>
      </c>
      <c r="F350" s="8">
        <v>1</v>
      </c>
      <c r="G350" s="8">
        <v>1</v>
      </c>
      <c r="H350" s="9">
        <v>1</v>
      </c>
      <c r="I350" s="9">
        <v>1</v>
      </c>
      <c r="J350" s="9" t="s">
        <v>219</v>
      </c>
      <c r="K350" s="7"/>
      <c r="L350" s="7" t="s">
        <v>52</v>
      </c>
      <c r="M350" s="7">
        <f t="shared" si="26"/>
        <v>1</v>
      </c>
      <c r="N350" s="9" t="s">
        <v>34</v>
      </c>
      <c r="O350" s="7">
        <v>0</v>
      </c>
      <c r="P350" s="9" t="s">
        <v>34</v>
      </c>
      <c r="Q350" s="7" t="s">
        <v>38</v>
      </c>
      <c r="R350" s="7" t="s">
        <v>38</v>
      </c>
      <c r="S350" s="7"/>
      <c r="T350" s="7"/>
      <c r="U350" s="7"/>
      <c r="V350" s="7"/>
      <c r="W350" s="7"/>
      <c r="X350" s="7">
        <v>3</v>
      </c>
      <c r="Y350" s="7"/>
      <c r="Z350" s="7"/>
      <c r="AA350" s="7"/>
      <c r="AB350" s="7">
        <f t="shared" si="25"/>
        <v>1</v>
      </c>
      <c r="AC350" s="7">
        <f t="shared" si="27"/>
        <v>1</v>
      </c>
      <c r="AD350" s="7"/>
      <c r="AE350" s="7"/>
      <c r="AF350" s="7"/>
      <c r="AG350" s="7"/>
      <c r="AH350" s="7"/>
      <c r="AI350" s="7"/>
      <c r="AJ350" s="7"/>
      <c r="AK350" s="7"/>
      <c r="AL350" s="9"/>
      <c r="AM350" s="7" t="s">
        <v>71</v>
      </c>
      <c r="AN350" s="7" t="s">
        <v>71</v>
      </c>
      <c r="AO350" s="12"/>
    </row>
    <row r="351" spans="1:41" s="11" customFormat="1" x14ac:dyDescent="0.25">
      <c r="A351" s="2">
        <v>350</v>
      </c>
      <c r="B351" s="7" t="s">
        <v>354</v>
      </c>
      <c r="C351" s="7" t="s">
        <v>100</v>
      </c>
      <c r="D351" s="7">
        <v>14</v>
      </c>
      <c r="E351" s="7">
        <v>14</v>
      </c>
      <c r="F351" s="8">
        <v>1</v>
      </c>
      <c r="G351" s="8">
        <v>1</v>
      </c>
      <c r="H351" s="7">
        <v>1</v>
      </c>
      <c r="I351" s="7">
        <v>1</v>
      </c>
      <c r="J351" s="9" t="s">
        <v>35</v>
      </c>
      <c r="K351" s="7">
        <v>2</v>
      </c>
      <c r="L351" s="7" t="s">
        <v>52</v>
      </c>
      <c r="M351" s="7">
        <f t="shared" si="26"/>
        <v>1</v>
      </c>
      <c r="N351" s="9" t="s">
        <v>34</v>
      </c>
      <c r="O351" s="7">
        <v>1</v>
      </c>
      <c r="P351" s="9" t="s">
        <v>33</v>
      </c>
      <c r="Q351" s="7" t="s">
        <v>38</v>
      </c>
      <c r="R351" s="7" t="s">
        <v>38</v>
      </c>
      <c r="S351" s="7"/>
      <c r="T351" s="7"/>
      <c r="U351" s="7"/>
      <c r="V351" s="7"/>
      <c r="W351" s="7"/>
      <c r="X351" s="7">
        <v>3</v>
      </c>
      <c r="Y351" s="7"/>
      <c r="Z351" s="7"/>
      <c r="AA351" s="7"/>
      <c r="AB351" s="7">
        <f t="shared" si="25"/>
        <v>1</v>
      </c>
      <c r="AC351" s="7">
        <f t="shared" si="27"/>
        <v>1</v>
      </c>
      <c r="AD351" s="7"/>
      <c r="AE351" s="7"/>
      <c r="AF351" s="7"/>
      <c r="AG351" s="7"/>
      <c r="AH351" s="7"/>
      <c r="AI351" s="7"/>
      <c r="AJ351" s="7"/>
      <c r="AK351" s="7"/>
      <c r="AL351" s="9"/>
      <c r="AM351" s="7" t="s">
        <v>71</v>
      </c>
      <c r="AN351" s="7" t="s">
        <v>71</v>
      </c>
      <c r="AO351" s="12"/>
    </row>
    <row r="352" spans="1:41" s="11" customFormat="1" x14ac:dyDescent="0.25">
      <c r="A352" s="2">
        <v>351</v>
      </c>
      <c r="B352" s="7" t="s">
        <v>367</v>
      </c>
      <c r="C352" s="7" t="s">
        <v>100</v>
      </c>
      <c r="D352" s="7">
        <v>6</v>
      </c>
      <c r="E352" s="7">
        <v>6</v>
      </c>
      <c r="F352" s="8">
        <v>1</v>
      </c>
      <c r="G352" s="8">
        <v>1</v>
      </c>
      <c r="H352" s="9">
        <v>1</v>
      </c>
      <c r="I352" s="9">
        <v>1</v>
      </c>
      <c r="J352" s="9" t="s">
        <v>176</v>
      </c>
      <c r="K352" s="7">
        <v>2</v>
      </c>
      <c r="L352" s="7" t="s">
        <v>52</v>
      </c>
      <c r="M352" s="7">
        <f t="shared" si="26"/>
        <v>1</v>
      </c>
      <c r="N352" s="9" t="s">
        <v>177</v>
      </c>
      <c r="O352" s="7">
        <v>0</v>
      </c>
      <c r="P352" s="9" t="s">
        <v>63</v>
      </c>
      <c r="Q352" s="7" t="s">
        <v>52</v>
      </c>
      <c r="R352" s="7" t="s">
        <v>38</v>
      </c>
      <c r="S352" s="10" t="s">
        <v>1696</v>
      </c>
      <c r="T352" s="7"/>
      <c r="U352" s="7"/>
      <c r="V352" s="7"/>
      <c r="W352" s="7"/>
      <c r="X352" s="7">
        <v>3</v>
      </c>
      <c r="Y352" s="7"/>
      <c r="Z352" s="7"/>
      <c r="AA352" s="7"/>
      <c r="AB352" s="7">
        <f t="shared" ref="AB352:AB383" si="28">(U352+X352+Z352)/3</f>
        <v>1</v>
      </c>
      <c r="AC352" s="7">
        <f t="shared" si="27"/>
        <v>1</v>
      </c>
      <c r="AD352" s="7"/>
      <c r="AE352" s="7"/>
      <c r="AF352" s="7"/>
      <c r="AG352" s="7"/>
      <c r="AH352" s="7"/>
      <c r="AI352" s="7"/>
      <c r="AJ352" s="7"/>
      <c r="AK352" s="7"/>
      <c r="AL352" s="9"/>
      <c r="AM352" s="7" t="s">
        <v>71</v>
      </c>
      <c r="AN352" s="7" t="s">
        <v>71</v>
      </c>
      <c r="AO352" s="12"/>
    </row>
    <row r="353" spans="1:41" s="11" customFormat="1" x14ac:dyDescent="0.25">
      <c r="A353" s="2">
        <v>352</v>
      </c>
      <c r="B353" s="7" t="s">
        <v>367</v>
      </c>
      <c r="C353" s="7" t="s">
        <v>100</v>
      </c>
      <c r="D353" s="7">
        <v>7</v>
      </c>
      <c r="E353" s="7">
        <v>7</v>
      </c>
      <c r="F353" s="8">
        <v>1</v>
      </c>
      <c r="G353" s="8">
        <v>1</v>
      </c>
      <c r="H353" s="7">
        <v>1</v>
      </c>
      <c r="I353" s="7">
        <v>1</v>
      </c>
      <c r="J353" s="9" t="s">
        <v>176</v>
      </c>
      <c r="K353" s="7">
        <v>8</v>
      </c>
      <c r="L353" s="7" t="s">
        <v>52</v>
      </c>
      <c r="M353" s="7">
        <f t="shared" si="26"/>
        <v>1</v>
      </c>
      <c r="N353" s="9" t="s">
        <v>109</v>
      </c>
      <c r="O353" s="7">
        <v>0</v>
      </c>
      <c r="P353" s="9" t="s">
        <v>63</v>
      </c>
      <c r="Q353" s="7" t="s">
        <v>38</v>
      </c>
      <c r="R353" s="7" t="s">
        <v>52</v>
      </c>
      <c r="S353" s="10" t="s">
        <v>1697</v>
      </c>
      <c r="T353" s="7"/>
      <c r="U353" s="7"/>
      <c r="V353" s="7"/>
      <c r="W353" s="7"/>
      <c r="X353" s="7">
        <v>3</v>
      </c>
      <c r="Y353" s="7"/>
      <c r="Z353" s="7"/>
      <c r="AA353" s="7"/>
      <c r="AB353" s="7">
        <f t="shared" si="28"/>
        <v>1</v>
      </c>
      <c r="AC353" s="7">
        <f t="shared" si="27"/>
        <v>1</v>
      </c>
      <c r="AD353" s="7"/>
      <c r="AE353" s="7"/>
      <c r="AF353" s="7"/>
      <c r="AG353" s="7"/>
      <c r="AH353" s="7"/>
      <c r="AI353" s="7"/>
      <c r="AJ353" s="7"/>
      <c r="AK353" s="7"/>
      <c r="AL353" s="9"/>
      <c r="AM353" s="7" t="s">
        <v>71</v>
      </c>
      <c r="AN353" s="7" t="s">
        <v>71</v>
      </c>
      <c r="AO353" s="12"/>
    </row>
    <row r="354" spans="1:41" s="11" customFormat="1" x14ac:dyDescent="0.25">
      <c r="A354" s="2">
        <v>353</v>
      </c>
      <c r="B354" s="7" t="s">
        <v>367</v>
      </c>
      <c r="C354" s="7" t="s">
        <v>78</v>
      </c>
      <c r="D354" s="7">
        <v>3</v>
      </c>
      <c r="E354" s="7">
        <v>3</v>
      </c>
      <c r="F354" s="8">
        <v>1</v>
      </c>
      <c r="G354" s="8">
        <v>1</v>
      </c>
      <c r="H354" s="9">
        <v>1</v>
      </c>
      <c r="I354" s="9">
        <v>1</v>
      </c>
      <c r="J354" s="9" t="s">
        <v>35</v>
      </c>
      <c r="K354" s="7">
        <v>1</v>
      </c>
      <c r="L354" s="7" t="s">
        <v>52</v>
      </c>
      <c r="M354" s="7">
        <f t="shared" si="26"/>
        <v>1</v>
      </c>
      <c r="N354" s="9" t="s">
        <v>34</v>
      </c>
      <c r="O354" s="7">
        <v>0</v>
      </c>
      <c r="P354" s="9" t="s">
        <v>63</v>
      </c>
      <c r="Q354" s="7" t="s">
        <v>38</v>
      </c>
      <c r="R354" s="7" t="s">
        <v>38</v>
      </c>
      <c r="S354" s="7"/>
      <c r="T354" s="7">
        <v>5</v>
      </c>
      <c r="U354" s="7">
        <v>5</v>
      </c>
      <c r="V354" s="7">
        <v>160</v>
      </c>
      <c r="W354" s="7" t="s">
        <v>88</v>
      </c>
      <c r="X354" s="7"/>
      <c r="Y354" s="7"/>
      <c r="Z354" s="7"/>
      <c r="AA354" s="7"/>
      <c r="AB354" s="7">
        <f t="shared" si="28"/>
        <v>1.6666666666666667</v>
      </c>
      <c r="AC354" s="7">
        <f t="shared" si="27"/>
        <v>1.6666666666666667</v>
      </c>
      <c r="AD354" s="7"/>
      <c r="AE354" s="7"/>
      <c r="AF354" s="7"/>
      <c r="AG354" s="7"/>
      <c r="AH354" s="7"/>
      <c r="AI354" s="7"/>
      <c r="AJ354" s="7"/>
      <c r="AK354" s="7"/>
      <c r="AL354" s="9"/>
      <c r="AM354" s="7" t="s">
        <v>71</v>
      </c>
      <c r="AN354" s="7" t="s">
        <v>71</v>
      </c>
      <c r="AO354" s="7"/>
    </row>
    <row r="355" spans="1:41" s="11" customFormat="1" ht="24" x14ac:dyDescent="0.25">
      <c r="A355" s="2">
        <v>354</v>
      </c>
      <c r="B355" s="7" t="s">
        <v>368</v>
      </c>
      <c r="C355" s="7" t="s">
        <v>50</v>
      </c>
      <c r="D355" s="7" t="s">
        <v>369</v>
      </c>
      <c r="E355" s="7">
        <f>127+20+17</f>
        <v>164</v>
      </c>
      <c r="F355" s="8">
        <v>1</v>
      </c>
      <c r="G355" s="9" t="s">
        <v>95</v>
      </c>
      <c r="H355" s="7">
        <v>3</v>
      </c>
      <c r="I355" s="7">
        <v>3</v>
      </c>
      <c r="J355" s="9" t="s">
        <v>35</v>
      </c>
      <c r="K355" s="7">
        <v>2</v>
      </c>
      <c r="L355" s="7" t="s">
        <v>52</v>
      </c>
      <c r="M355" s="7">
        <f t="shared" si="26"/>
        <v>1</v>
      </c>
      <c r="N355" s="9" t="s">
        <v>36</v>
      </c>
      <c r="O355" s="7">
        <v>0</v>
      </c>
      <c r="P355" s="9" t="s">
        <v>33</v>
      </c>
      <c r="Q355" s="7" t="s">
        <v>52</v>
      </c>
      <c r="R355" s="7" t="s">
        <v>38</v>
      </c>
      <c r="S355" s="10" t="s">
        <v>1698</v>
      </c>
      <c r="T355" s="7"/>
      <c r="U355" s="7"/>
      <c r="V355" s="7"/>
      <c r="W355" s="7"/>
      <c r="X355" s="7">
        <v>3</v>
      </c>
      <c r="Y355" s="7">
        <v>100</v>
      </c>
      <c r="Z355" s="7">
        <v>100</v>
      </c>
      <c r="AA355" s="7">
        <v>68</v>
      </c>
      <c r="AB355" s="7">
        <f t="shared" si="28"/>
        <v>34.333333333333336</v>
      </c>
      <c r="AC355" s="7">
        <f t="shared" si="27"/>
        <v>34.333333333333336</v>
      </c>
      <c r="AD355" s="7"/>
      <c r="AE355" s="7"/>
      <c r="AF355" s="7"/>
      <c r="AG355" s="7"/>
      <c r="AH355" s="7"/>
      <c r="AI355" s="7"/>
      <c r="AJ355" s="10" t="s">
        <v>2347</v>
      </c>
      <c r="AK355" s="7"/>
      <c r="AL355" s="9"/>
      <c r="AM355" s="7" t="s">
        <v>67</v>
      </c>
      <c r="AN355" s="7" t="s">
        <v>2847</v>
      </c>
      <c r="AO355" s="10" t="s">
        <v>2515</v>
      </c>
    </row>
    <row r="356" spans="1:41" s="11" customFormat="1" x14ac:dyDescent="0.25">
      <c r="A356" s="2">
        <v>355</v>
      </c>
      <c r="B356" s="7" t="s">
        <v>370</v>
      </c>
      <c r="C356" s="7" t="s">
        <v>50</v>
      </c>
      <c r="D356" s="7">
        <v>19</v>
      </c>
      <c r="E356" s="7">
        <v>19</v>
      </c>
      <c r="F356" s="8">
        <v>1</v>
      </c>
      <c r="G356" s="8">
        <v>1</v>
      </c>
      <c r="H356" s="9">
        <v>1</v>
      </c>
      <c r="I356" s="9">
        <v>1</v>
      </c>
      <c r="J356" s="9" t="s">
        <v>77</v>
      </c>
      <c r="K356" s="7">
        <v>1</v>
      </c>
      <c r="L356" s="7" t="s">
        <v>52</v>
      </c>
      <c r="M356" s="7">
        <f t="shared" si="26"/>
        <v>1</v>
      </c>
      <c r="N356" s="9" t="s">
        <v>36</v>
      </c>
      <c r="O356" s="7">
        <v>0</v>
      </c>
      <c r="P356" s="9" t="s">
        <v>63</v>
      </c>
      <c r="Q356" s="7" t="s">
        <v>38</v>
      </c>
      <c r="R356" s="7" t="s">
        <v>38</v>
      </c>
      <c r="S356" s="10" t="s">
        <v>1699</v>
      </c>
      <c r="T356" s="7"/>
      <c r="U356" s="7"/>
      <c r="V356" s="7"/>
      <c r="W356" s="7"/>
      <c r="X356" s="7"/>
      <c r="Y356" s="7">
        <v>25</v>
      </c>
      <c r="Z356" s="7">
        <v>25</v>
      </c>
      <c r="AA356" s="7">
        <v>60</v>
      </c>
      <c r="AB356" s="7">
        <f t="shared" si="28"/>
        <v>8.3333333333333339</v>
      </c>
      <c r="AC356" s="7">
        <f t="shared" si="27"/>
        <v>8.3333333333333339</v>
      </c>
      <c r="AD356" s="7"/>
      <c r="AE356" s="7"/>
      <c r="AF356" s="7"/>
      <c r="AG356" s="7"/>
      <c r="AH356" s="7"/>
      <c r="AI356" s="7" t="s">
        <v>371</v>
      </c>
      <c r="AJ356" s="7"/>
      <c r="AK356" s="7"/>
      <c r="AL356" s="9"/>
      <c r="AM356" s="7" t="s">
        <v>42</v>
      </c>
      <c r="AN356" s="7" t="s">
        <v>42</v>
      </c>
      <c r="AO356" s="7"/>
    </row>
    <row r="357" spans="1:41" s="11" customFormat="1" x14ac:dyDescent="0.25">
      <c r="A357" s="2">
        <v>356</v>
      </c>
      <c r="B357" s="7" t="s">
        <v>370</v>
      </c>
      <c r="C357" s="7" t="s">
        <v>50</v>
      </c>
      <c r="D357" s="7">
        <v>28</v>
      </c>
      <c r="E357" s="7">
        <v>28</v>
      </c>
      <c r="F357" s="8">
        <v>1</v>
      </c>
      <c r="G357" s="8">
        <v>1</v>
      </c>
      <c r="H357" s="7">
        <v>1</v>
      </c>
      <c r="I357" s="7">
        <v>1</v>
      </c>
      <c r="J357" s="9" t="s">
        <v>77</v>
      </c>
      <c r="K357" s="7">
        <v>1</v>
      </c>
      <c r="L357" s="7" t="s">
        <v>52</v>
      </c>
      <c r="M357" s="7">
        <f t="shared" si="26"/>
        <v>1</v>
      </c>
      <c r="N357" s="9" t="s">
        <v>36</v>
      </c>
      <c r="O357" s="7">
        <v>0</v>
      </c>
      <c r="P357" s="9" t="s">
        <v>33</v>
      </c>
      <c r="Q357" s="7" t="s">
        <v>38</v>
      </c>
      <c r="R357" s="7" t="s">
        <v>38</v>
      </c>
      <c r="S357" s="10" t="s">
        <v>1700</v>
      </c>
      <c r="T357" s="7"/>
      <c r="U357" s="7"/>
      <c r="V357" s="7"/>
      <c r="W357" s="7"/>
      <c r="X357" s="7"/>
      <c r="Y357" s="7">
        <v>40</v>
      </c>
      <c r="Z357" s="7">
        <v>40</v>
      </c>
      <c r="AA357" s="7">
        <v>70</v>
      </c>
      <c r="AB357" s="7">
        <f t="shared" si="28"/>
        <v>13.333333333333334</v>
      </c>
      <c r="AC357" s="7">
        <f t="shared" si="27"/>
        <v>13.333333333333334</v>
      </c>
      <c r="AD357" s="7"/>
      <c r="AE357" s="7"/>
      <c r="AF357" s="7"/>
      <c r="AG357" s="7"/>
      <c r="AH357" s="7"/>
      <c r="AI357" s="7"/>
      <c r="AJ357" s="7"/>
      <c r="AK357" s="7"/>
      <c r="AL357" s="9"/>
      <c r="AM357" s="7" t="s">
        <v>42</v>
      </c>
      <c r="AN357" s="7" t="s">
        <v>42</v>
      </c>
      <c r="AO357" s="7"/>
    </row>
    <row r="358" spans="1:41" s="11" customFormat="1" x14ac:dyDescent="0.25">
      <c r="A358" s="2">
        <v>357</v>
      </c>
      <c r="B358" s="7" t="s">
        <v>370</v>
      </c>
      <c r="C358" s="7" t="s">
        <v>50</v>
      </c>
      <c r="D358" s="7">
        <v>30</v>
      </c>
      <c r="E358" s="7">
        <v>30</v>
      </c>
      <c r="F358" s="8">
        <v>1</v>
      </c>
      <c r="G358" s="8">
        <v>1</v>
      </c>
      <c r="H358" s="9">
        <v>1</v>
      </c>
      <c r="I358" s="9">
        <v>1</v>
      </c>
      <c r="J358" s="9" t="s">
        <v>35</v>
      </c>
      <c r="K358" s="7">
        <v>2</v>
      </c>
      <c r="L358" s="7" t="s">
        <v>52</v>
      </c>
      <c r="M358" s="7">
        <f t="shared" si="26"/>
        <v>1</v>
      </c>
      <c r="N358" s="9" t="s">
        <v>36</v>
      </c>
      <c r="O358" s="7">
        <v>0</v>
      </c>
      <c r="P358" s="9" t="s">
        <v>33</v>
      </c>
      <c r="Q358" s="7" t="s">
        <v>38</v>
      </c>
      <c r="R358" s="7" t="s">
        <v>38</v>
      </c>
      <c r="S358" s="10" t="s">
        <v>1701</v>
      </c>
      <c r="T358" s="7"/>
      <c r="U358" s="7"/>
      <c r="V358" s="7"/>
      <c r="W358" s="7"/>
      <c r="X358" s="7"/>
      <c r="Y358" s="7">
        <v>45</v>
      </c>
      <c r="Z358" s="7">
        <v>45</v>
      </c>
      <c r="AA358" s="7">
        <v>65</v>
      </c>
      <c r="AB358" s="7">
        <f t="shared" si="28"/>
        <v>15</v>
      </c>
      <c r="AC358" s="7">
        <f t="shared" si="27"/>
        <v>15</v>
      </c>
      <c r="AD358" s="7"/>
      <c r="AE358" s="7"/>
      <c r="AF358" s="7"/>
      <c r="AG358" s="7"/>
      <c r="AH358" s="7"/>
      <c r="AI358" s="7"/>
      <c r="AJ358" s="7" t="s">
        <v>372</v>
      </c>
      <c r="AK358" s="7"/>
      <c r="AL358" s="9"/>
      <c r="AM358" s="7" t="s">
        <v>71</v>
      </c>
      <c r="AN358" s="7" t="s">
        <v>71</v>
      </c>
      <c r="AO358" s="12"/>
    </row>
    <row r="359" spans="1:41" s="11" customFormat="1" x14ac:dyDescent="0.25">
      <c r="A359" s="2">
        <v>358</v>
      </c>
      <c r="B359" s="7" t="s">
        <v>370</v>
      </c>
      <c r="C359" s="7" t="s">
        <v>100</v>
      </c>
      <c r="D359" s="7">
        <v>16</v>
      </c>
      <c r="E359" s="7">
        <v>16</v>
      </c>
      <c r="F359" s="8">
        <v>1</v>
      </c>
      <c r="G359" s="8">
        <v>1</v>
      </c>
      <c r="H359" s="7">
        <v>1</v>
      </c>
      <c r="I359" s="7">
        <v>1</v>
      </c>
      <c r="J359" s="9" t="s">
        <v>35</v>
      </c>
      <c r="K359" s="7">
        <v>2</v>
      </c>
      <c r="L359" s="7" t="s">
        <v>52</v>
      </c>
      <c r="M359" s="7">
        <f t="shared" si="26"/>
        <v>1</v>
      </c>
      <c r="N359" s="9" t="s">
        <v>34</v>
      </c>
      <c r="O359" s="7">
        <v>0</v>
      </c>
      <c r="P359" s="9" t="s">
        <v>33</v>
      </c>
      <c r="Q359" s="7" t="s">
        <v>38</v>
      </c>
      <c r="R359" s="7" t="s">
        <v>38</v>
      </c>
      <c r="S359" s="10" t="s">
        <v>1702</v>
      </c>
      <c r="T359" s="7"/>
      <c r="U359" s="7"/>
      <c r="V359" s="7"/>
      <c r="W359" s="7"/>
      <c r="X359" s="7">
        <v>5</v>
      </c>
      <c r="Y359" s="7"/>
      <c r="Z359" s="7"/>
      <c r="AA359" s="7"/>
      <c r="AB359" s="7">
        <f t="shared" si="28"/>
        <v>1.6666666666666667</v>
      </c>
      <c r="AC359" s="7">
        <f t="shared" si="27"/>
        <v>1.6666666666666667</v>
      </c>
      <c r="AD359" s="7"/>
      <c r="AE359" s="7">
        <v>1</v>
      </c>
      <c r="AF359" s="7" t="s">
        <v>40</v>
      </c>
      <c r="AG359" s="7"/>
      <c r="AH359" s="7" t="s">
        <v>38</v>
      </c>
      <c r="AI359" s="7"/>
      <c r="AJ359" s="7"/>
      <c r="AK359" s="7"/>
      <c r="AL359" s="9"/>
      <c r="AM359" s="7" t="s">
        <v>42</v>
      </c>
      <c r="AN359" s="7" t="s">
        <v>42</v>
      </c>
      <c r="AO359" s="7"/>
    </row>
    <row r="360" spans="1:41" s="11" customFormat="1" ht="24" x14ac:dyDescent="0.25">
      <c r="A360" s="2">
        <v>359</v>
      </c>
      <c r="B360" s="7" t="s">
        <v>370</v>
      </c>
      <c r="C360" s="7" t="s">
        <v>89</v>
      </c>
      <c r="D360" s="7" t="s">
        <v>373</v>
      </c>
      <c r="E360" s="7">
        <f>45+12</f>
        <v>57</v>
      </c>
      <c r="F360" s="8">
        <v>1</v>
      </c>
      <c r="G360" s="8">
        <v>3</v>
      </c>
      <c r="H360" s="8">
        <v>3</v>
      </c>
      <c r="I360" s="8">
        <v>3</v>
      </c>
      <c r="J360" s="9" t="s">
        <v>70</v>
      </c>
      <c r="K360" s="7">
        <v>1</v>
      </c>
      <c r="L360" s="7" t="s">
        <v>52</v>
      </c>
      <c r="M360" s="7">
        <f t="shared" si="26"/>
        <v>1</v>
      </c>
      <c r="N360" s="9" t="s">
        <v>36</v>
      </c>
      <c r="O360" s="7">
        <v>0</v>
      </c>
      <c r="P360" s="9" t="s">
        <v>63</v>
      </c>
      <c r="Q360" s="7" t="s">
        <v>38</v>
      </c>
      <c r="R360" s="7" t="s">
        <v>38</v>
      </c>
      <c r="S360" s="10" t="s">
        <v>1703</v>
      </c>
      <c r="T360" s="7"/>
      <c r="U360" s="7"/>
      <c r="V360" s="7"/>
      <c r="W360" s="7"/>
      <c r="X360" s="7">
        <v>5</v>
      </c>
      <c r="Y360" s="7"/>
      <c r="Z360" s="7"/>
      <c r="AA360" s="7"/>
      <c r="AB360" s="7">
        <f t="shared" si="28"/>
        <v>1.6666666666666667</v>
      </c>
      <c r="AC360" s="7">
        <f t="shared" si="27"/>
        <v>1.6666666666666667</v>
      </c>
      <c r="AD360" s="7"/>
      <c r="AE360" s="7"/>
      <c r="AF360" s="7"/>
      <c r="AG360" s="7"/>
      <c r="AH360" s="7"/>
      <c r="AI360" s="7"/>
      <c r="AJ360" s="7"/>
      <c r="AK360" s="7"/>
      <c r="AL360" s="9"/>
      <c r="AM360" s="7" t="s">
        <v>71</v>
      </c>
      <c r="AN360" s="7" t="s">
        <v>71</v>
      </c>
      <c r="AO360" s="7"/>
    </row>
    <row r="361" spans="1:41" s="11" customFormat="1" x14ac:dyDescent="0.25">
      <c r="A361" s="2">
        <v>360</v>
      </c>
      <c r="B361" s="7" t="s">
        <v>370</v>
      </c>
      <c r="C361" s="7" t="s">
        <v>100</v>
      </c>
      <c r="D361" s="7">
        <v>4</v>
      </c>
      <c r="E361" s="7">
        <v>4</v>
      </c>
      <c r="F361" s="8">
        <v>1</v>
      </c>
      <c r="G361" s="8">
        <v>1</v>
      </c>
      <c r="H361" s="7">
        <v>1</v>
      </c>
      <c r="I361" s="7">
        <v>1</v>
      </c>
      <c r="J361" s="9" t="s">
        <v>77</v>
      </c>
      <c r="K361" s="7">
        <v>1</v>
      </c>
      <c r="L361" s="7" t="s">
        <v>38</v>
      </c>
      <c r="M361" s="7">
        <f t="shared" si="26"/>
        <v>0</v>
      </c>
      <c r="N361" s="9" t="s">
        <v>34</v>
      </c>
      <c r="O361" s="7">
        <v>0</v>
      </c>
      <c r="P361" s="9" t="s">
        <v>36</v>
      </c>
      <c r="Q361" s="7" t="s">
        <v>38</v>
      </c>
      <c r="R361" s="7" t="s">
        <v>38</v>
      </c>
      <c r="S361" s="10" t="s">
        <v>1704</v>
      </c>
      <c r="T361" s="7"/>
      <c r="U361" s="7"/>
      <c r="V361" s="7"/>
      <c r="W361" s="7"/>
      <c r="X361" s="7">
        <v>3</v>
      </c>
      <c r="Y361" s="7"/>
      <c r="Z361" s="7"/>
      <c r="AA361" s="7"/>
      <c r="AB361" s="7">
        <f t="shared" si="28"/>
        <v>1</v>
      </c>
      <c r="AC361" s="7">
        <f t="shared" si="27"/>
        <v>0</v>
      </c>
      <c r="AD361" s="7"/>
      <c r="AE361" s="7"/>
      <c r="AF361" s="7"/>
      <c r="AG361" s="7"/>
      <c r="AH361" s="7"/>
      <c r="AI361" s="7"/>
      <c r="AJ361" s="7"/>
      <c r="AK361" s="10" t="s">
        <v>2439</v>
      </c>
      <c r="AL361" s="9"/>
      <c r="AM361" s="7" t="s">
        <v>71</v>
      </c>
      <c r="AN361" s="7" t="s">
        <v>71</v>
      </c>
      <c r="AO361" s="7"/>
    </row>
    <row r="362" spans="1:41" s="11" customFormat="1" x14ac:dyDescent="0.25">
      <c r="A362" s="2">
        <v>361</v>
      </c>
      <c r="B362" s="7" t="s">
        <v>370</v>
      </c>
      <c r="C362" s="7" t="s">
        <v>104</v>
      </c>
      <c r="D362" s="7">
        <v>26</v>
      </c>
      <c r="E362" s="7">
        <v>26</v>
      </c>
      <c r="F362" s="8">
        <v>1</v>
      </c>
      <c r="G362" s="8">
        <v>1</v>
      </c>
      <c r="H362" s="9">
        <v>1</v>
      </c>
      <c r="I362" s="9">
        <v>1</v>
      </c>
      <c r="J362" s="9" t="s">
        <v>35</v>
      </c>
      <c r="K362" s="7">
        <v>1</v>
      </c>
      <c r="L362" s="7" t="s">
        <v>52</v>
      </c>
      <c r="M362" s="7">
        <f t="shared" si="26"/>
        <v>1</v>
      </c>
      <c r="N362" s="9" t="s">
        <v>36</v>
      </c>
      <c r="O362" s="7">
        <v>0</v>
      </c>
      <c r="P362" s="9" t="s">
        <v>63</v>
      </c>
      <c r="Q362" s="7" t="s">
        <v>38</v>
      </c>
      <c r="R362" s="7" t="s">
        <v>38</v>
      </c>
      <c r="S362" s="7"/>
      <c r="T362" s="7"/>
      <c r="U362" s="7"/>
      <c r="V362" s="7"/>
      <c r="W362" s="7"/>
      <c r="X362" s="7">
        <v>3</v>
      </c>
      <c r="Y362" s="7"/>
      <c r="Z362" s="7"/>
      <c r="AA362" s="7"/>
      <c r="AB362" s="7">
        <f t="shared" si="28"/>
        <v>1</v>
      </c>
      <c r="AC362" s="7">
        <f t="shared" si="27"/>
        <v>1</v>
      </c>
      <c r="AD362" s="7"/>
      <c r="AE362" s="7">
        <v>1</v>
      </c>
      <c r="AF362" s="7" t="s">
        <v>40</v>
      </c>
      <c r="AG362" s="7" t="s">
        <v>374</v>
      </c>
      <c r="AH362" s="7"/>
      <c r="AI362" s="7"/>
      <c r="AJ362" s="7"/>
      <c r="AK362" s="7"/>
      <c r="AL362" s="9"/>
      <c r="AM362" s="7" t="s">
        <v>71</v>
      </c>
      <c r="AN362" s="7" t="s">
        <v>71</v>
      </c>
      <c r="AO362" s="7"/>
    </row>
    <row r="363" spans="1:41" s="11" customFormat="1" x14ac:dyDescent="0.25">
      <c r="A363" s="2">
        <v>362</v>
      </c>
      <c r="B363" s="7" t="s">
        <v>370</v>
      </c>
      <c r="C363" s="7" t="s">
        <v>100</v>
      </c>
      <c r="D363" s="7">
        <v>21</v>
      </c>
      <c r="E363" s="7">
        <v>21</v>
      </c>
      <c r="F363" s="8">
        <v>1</v>
      </c>
      <c r="G363" s="8">
        <v>1</v>
      </c>
      <c r="H363" s="7">
        <v>1</v>
      </c>
      <c r="I363" s="7">
        <v>1</v>
      </c>
      <c r="J363" s="9" t="s">
        <v>219</v>
      </c>
      <c r="K363" s="7">
        <v>13</v>
      </c>
      <c r="L363" s="7" t="s">
        <v>52</v>
      </c>
      <c r="M363" s="7">
        <f t="shared" si="26"/>
        <v>1</v>
      </c>
      <c r="N363" s="9" t="s">
        <v>36</v>
      </c>
      <c r="O363" s="7">
        <v>0</v>
      </c>
      <c r="P363" s="9" t="s">
        <v>34</v>
      </c>
      <c r="Q363" s="7" t="s">
        <v>38</v>
      </c>
      <c r="R363" s="7" t="s">
        <v>38</v>
      </c>
      <c r="S363" s="7" t="s">
        <v>375</v>
      </c>
      <c r="T363" s="7"/>
      <c r="U363" s="7"/>
      <c r="V363" s="7"/>
      <c r="W363" s="7"/>
      <c r="X363" s="7">
        <v>3</v>
      </c>
      <c r="Y363" s="7"/>
      <c r="Z363" s="7"/>
      <c r="AA363" s="7"/>
      <c r="AB363" s="7">
        <f t="shared" si="28"/>
        <v>1</v>
      </c>
      <c r="AC363" s="7">
        <f t="shared" si="27"/>
        <v>1</v>
      </c>
      <c r="AD363" s="7"/>
      <c r="AE363" s="7"/>
      <c r="AF363" s="7"/>
      <c r="AG363" s="7"/>
      <c r="AH363" s="7"/>
      <c r="AI363" s="7"/>
      <c r="AJ363" s="7"/>
      <c r="AK363" s="7"/>
      <c r="AL363" s="9"/>
      <c r="AM363" s="7" t="s">
        <v>71</v>
      </c>
      <c r="AN363" s="7" t="s">
        <v>71</v>
      </c>
      <c r="AO363" s="12"/>
    </row>
    <row r="364" spans="1:41" s="11" customFormat="1" x14ac:dyDescent="0.25">
      <c r="A364" s="2">
        <v>363</v>
      </c>
      <c r="B364" s="7" t="s">
        <v>370</v>
      </c>
      <c r="C364" s="7" t="s">
        <v>100</v>
      </c>
      <c r="D364" s="7">
        <v>5</v>
      </c>
      <c r="E364" s="7">
        <v>5</v>
      </c>
      <c r="F364" s="8">
        <v>1</v>
      </c>
      <c r="G364" s="8">
        <v>1</v>
      </c>
      <c r="H364" s="9">
        <v>1</v>
      </c>
      <c r="I364" s="9">
        <v>1</v>
      </c>
      <c r="J364" s="9" t="s">
        <v>219</v>
      </c>
      <c r="K364" s="9" t="s">
        <v>46</v>
      </c>
      <c r="L364" s="7" t="s">
        <v>52</v>
      </c>
      <c r="M364" s="7">
        <f t="shared" si="26"/>
        <v>1</v>
      </c>
      <c r="N364" s="9" t="s">
        <v>37</v>
      </c>
      <c r="O364" s="7">
        <v>0</v>
      </c>
      <c r="P364" s="9" t="s">
        <v>63</v>
      </c>
      <c r="Q364" s="9" t="s">
        <v>38</v>
      </c>
      <c r="R364" s="9" t="s">
        <v>38</v>
      </c>
      <c r="S364" s="10" t="s">
        <v>1705</v>
      </c>
      <c r="T364" s="7"/>
      <c r="U364" s="7"/>
      <c r="V364" s="7"/>
      <c r="W364" s="7"/>
      <c r="X364" s="7">
        <v>3</v>
      </c>
      <c r="Y364" s="7"/>
      <c r="Z364" s="7"/>
      <c r="AA364" s="7"/>
      <c r="AB364" s="7">
        <f t="shared" si="28"/>
        <v>1</v>
      </c>
      <c r="AC364" s="7">
        <f t="shared" si="27"/>
        <v>1</v>
      </c>
      <c r="AD364" s="7"/>
      <c r="AE364" s="7"/>
      <c r="AF364" s="7"/>
      <c r="AG364" s="7"/>
      <c r="AH364" s="7"/>
      <c r="AI364" s="7"/>
      <c r="AJ364" s="7"/>
      <c r="AK364" s="7"/>
      <c r="AL364" s="9"/>
      <c r="AM364" s="7" t="s">
        <v>71</v>
      </c>
      <c r="AN364" s="7" t="s">
        <v>71</v>
      </c>
      <c r="AO364" s="12"/>
    </row>
    <row r="365" spans="1:41" s="11" customFormat="1" ht="24" x14ac:dyDescent="0.25">
      <c r="A365" s="2">
        <v>364</v>
      </c>
      <c r="B365" s="7" t="s">
        <v>370</v>
      </c>
      <c r="C365" s="7" t="s">
        <v>104</v>
      </c>
      <c r="D365" s="7">
        <v>77</v>
      </c>
      <c r="E365" s="7">
        <v>77</v>
      </c>
      <c r="F365" s="8">
        <v>1</v>
      </c>
      <c r="G365" s="8">
        <v>1</v>
      </c>
      <c r="H365" s="7">
        <v>1</v>
      </c>
      <c r="I365" s="7">
        <v>1</v>
      </c>
      <c r="J365" s="9" t="s">
        <v>219</v>
      </c>
      <c r="K365" s="7">
        <v>7</v>
      </c>
      <c r="L365" s="7" t="s">
        <v>52</v>
      </c>
      <c r="M365" s="7">
        <f t="shared" si="26"/>
        <v>1</v>
      </c>
      <c r="N365" s="9" t="s">
        <v>34</v>
      </c>
      <c r="O365" s="7">
        <v>0</v>
      </c>
      <c r="P365" s="9" t="s">
        <v>34</v>
      </c>
      <c r="Q365" s="7" t="s">
        <v>38</v>
      </c>
      <c r="R365" s="7" t="s">
        <v>38</v>
      </c>
      <c r="S365" s="10" t="s">
        <v>1706</v>
      </c>
      <c r="T365" s="7"/>
      <c r="U365" s="7"/>
      <c r="V365" s="7"/>
      <c r="W365" s="7"/>
      <c r="X365" s="7">
        <v>3</v>
      </c>
      <c r="Y365" s="7"/>
      <c r="Z365" s="7"/>
      <c r="AA365" s="7"/>
      <c r="AB365" s="7">
        <f t="shared" si="28"/>
        <v>1</v>
      </c>
      <c r="AC365" s="7">
        <f t="shared" si="27"/>
        <v>1</v>
      </c>
      <c r="AD365" s="7"/>
      <c r="AE365" s="7">
        <v>1</v>
      </c>
      <c r="AF365" s="7" t="s">
        <v>155</v>
      </c>
      <c r="AG365" s="7" t="s">
        <v>133</v>
      </c>
      <c r="AH365" s="7"/>
      <c r="AI365" s="7"/>
      <c r="AJ365" s="7"/>
      <c r="AK365" s="7"/>
      <c r="AL365" s="9"/>
      <c r="AM365" s="7" t="s">
        <v>376</v>
      </c>
      <c r="AN365" s="7" t="s">
        <v>662</v>
      </c>
      <c r="AO365" s="7"/>
    </row>
    <row r="366" spans="1:41" s="11" customFormat="1" x14ac:dyDescent="0.25">
      <c r="A366" s="2">
        <v>365</v>
      </c>
      <c r="B366" s="7" t="s">
        <v>370</v>
      </c>
      <c r="C366" s="7" t="s">
        <v>100</v>
      </c>
      <c r="D366" s="7">
        <v>52</v>
      </c>
      <c r="E366" s="7">
        <v>52</v>
      </c>
      <c r="F366" s="8">
        <v>1</v>
      </c>
      <c r="G366" s="8">
        <v>1</v>
      </c>
      <c r="H366" s="9">
        <v>1</v>
      </c>
      <c r="I366" s="9">
        <v>1</v>
      </c>
      <c r="J366" s="9" t="s">
        <v>219</v>
      </c>
      <c r="K366" s="7">
        <v>5</v>
      </c>
      <c r="L366" s="7" t="s">
        <v>52</v>
      </c>
      <c r="M366" s="7">
        <f t="shared" si="26"/>
        <v>1</v>
      </c>
      <c r="N366" s="9" t="s">
        <v>82</v>
      </c>
      <c r="O366" s="7">
        <v>0</v>
      </c>
      <c r="P366" s="9" t="s">
        <v>37</v>
      </c>
      <c r="Q366" s="7" t="s">
        <v>38</v>
      </c>
      <c r="R366" s="7" t="s">
        <v>38</v>
      </c>
      <c r="S366" s="10" t="s">
        <v>1707</v>
      </c>
      <c r="T366" s="7"/>
      <c r="U366" s="7"/>
      <c r="V366" s="7"/>
      <c r="W366" s="7"/>
      <c r="X366" s="7">
        <v>3</v>
      </c>
      <c r="Y366" s="7"/>
      <c r="Z366" s="7"/>
      <c r="AA366" s="7"/>
      <c r="AB366" s="7">
        <f t="shared" si="28"/>
        <v>1</v>
      </c>
      <c r="AC366" s="7">
        <f t="shared" si="27"/>
        <v>1</v>
      </c>
      <c r="AD366" s="7"/>
      <c r="AE366" s="7"/>
      <c r="AF366" s="7"/>
      <c r="AG366" s="7"/>
      <c r="AH366" s="7"/>
      <c r="AI366" s="7"/>
      <c r="AJ366" s="7"/>
      <c r="AK366" s="7"/>
      <c r="AL366" s="9"/>
      <c r="AM366" s="7" t="s">
        <v>71</v>
      </c>
      <c r="AN366" s="7" t="s">
        <v>71</v>
      </c>
      <c r="AO366" s="12"/>
    </row>
    <row r="367" spans="1:41" s="11" customFormat="1" x14ac:dyDescent="0.25">
      <c r="A367" s="2">
        <v>366</v>
      </c>
      <c r="B367" s="7" t="s">
        <v>370</v>
      </c>
      <c r="C367" s="7" t="s">
        <v>100</v>
      </c>
      <c r="D367" s="7">
        <v>28</v>
      </c>
      <c r="E367" s="7">
        <v>28</v>
      </c>
      <c r="F367" s="8">
        <v>1</v>
      </c>
      <c r="G367" s="8">
        <v>1</v>
      </c>
      <c r="H367" s="7">
        <v>1</v>
      </c>
      <c r="I367" s="7">
        <v>1</v>
      </c>
      <c r="J367" s="9" t="s">
        <v>219</v>
      </c>
      <c r="K367" s="7">
        <v>5</v>
      </c>
      <c r="L367" s="7" t="s">
        <v>52</v>
      </c>
      <c r="M367" s="7">
        <f t="shared" si="26"/>
        <v>1</v>
      </c>
      <c r="N367" s="9" t="s">
        <v>34</v>
      </c>
      <c r="O367" s="7">
        <v>2</v>
      </c>
      <c r="P367" s="9" t="s">
        <v>33</v>
      </c>
      <c r="Q367" s="7" t="s">
        <v>52</v>
      </c>
      <c r="R367" s="7" t="s">
        <v>38</v>
      </c>
      <c r="S367" s="10" t="s">
        <v>1708</v>
      </c>
      <c r="T367" s="7"/>
      <c r="U367" s="7"/>
      <c r="V367" s="7"/>
      <c r="W367" s="7"/>
      <c r="X367" s="7">
        <v>3</v>
      </c>
      <c r="Y367" s="7"/>
      <c r="Z367" s="7"/>
      <c r="AA367" s="7"/>
      <c r="AB367" s="7">
        <f t="shared" si="28"/>
        <v>1</v>
      </c>
      <c r="AC367" s="7">
        <f t="shared" si="27"/>
        <v>1</v>
      </c>
      <c r="AD367" s="7"/>
      <c r="AE367" s="7"/>
      <c r="AF367" s="7"/>
      <c r="AG367" s="7"/>
      <c r="AH367" s="7"/>
      <c r="AI367" s="7"/>
      <c r="AJ367" s="7"/>
      <c r="AK367" s="7"/>
      <c r="AL367" s="9"/>
      <c r="AM367" s="7" t="s">
        <v>71</v>
      </c>
      <c r="AN367" s="7" t="s">
        <v>71</v>
      </c>
      <c r="AO367" s="12"/>
    </row>
    <row r="368" spans="1:41" s="11" customFormat="1" x14ac:dyDescent="0.25">
      <c r="A368" s="2">
        <v>367</v>
      </c>
      <c r="B368" s="7" t="s">
        <v>370</v>
      </c>
      <c r="C368" s="7" t="s">
        <v>78</v>
      </c>
      <c r="D368" s="7">
        <v>9</v>
      </c>
      <c r="E368" s="7">
        <v>9</v>
      </c>
      <c r="F368" s="8">
        <v>1</v>
      </c>
      <c r="G368" s="8">
        <v>1</v>
      </c>
      <c r="H368" s="9">
        <v>1</v>
      </c>
      <c r="I368" s="9">
        <v>1</v>
      </c>
      <c r="J368" s="9" t="s">
        <v>219</v>
      </c>
      <c r="K368" s="7">
        <v>5</v>
      </c>
      <c r="L368" s="7" t="s">
        <v>52</v>
      </c>
      <c r="M368" s="7">
        <f t="shared" si="26"/>
        <v>1</v>
      </c>
      <c r="N368" s="9" t="s">
        <v>34</v>
      </c>
      <c r="O368" s="7">
        <v>0</v>
      </c>
      <c r="P368" s="9" t="s">
        <v>37</v>
      </c>
      <c r="Q368" s="7" t="s">
        <v>38</v>
      </c>
      <c r="R368" s="7" t="s">
        <v>52</v>
      </c>
      <c r="S368" s="10" t="s">
        <v>1709</v>
      </c>
      <c r="T368" s="7">
        <v>10</v>
      </c>
      <c r="U368" s="7">
        <v>10</v>
      </c>
      <c r="V368" s="7">
        <v>130</v>
      </c>
      <c r="W368" s="7" t="s">
        <v>377</v>
      </c>
      <c r="X368" s="7"/>
      <c r="Y368" s="7"/>
      <c r="Z368" s="7"/>
      <c r="AA368" s="7"/>
      <c r="AB368" s="7">
        <f t="shared" si="28"/>
        <v>3.3333333333333335</v>
      </c>
      <c r="AC368" s="7">
        <f t="shared" si="27"/>
        <v>3.3333333333333335</v>
      </c>
      <c r="AD368" s="7"/>
      <c r="AE368" s="7"/>
      <c r="AF368" s="7"/>
      <c r="AG368" s="7"/>
      <c r="AH368" s="7"/>
      <c r="AI368" s="7"/>
      <c r="AJ368" s="7"/>
      <c r="AK368" s="7"/>
      <c r="AL368" s="9"/>
      <c r="AM368" s="7" t="s">
        <v>71</v>
      </c>
      <c r="AN368" s="7" t="s">
        <v>71</v>
      </c>
      <c r="AO368" s="7"/>
    </row>
    <row r="369" spans="1:41" s="11" customFormat="1" x14ac:dyDescent="0.25">
      <c r="A369" s="2">
        <v>368</v>
      </c>
      <c r="B369" s="7" t="s">
        <v>370</v>
      </c>
      <c r="C369" s="7" t="s">
        <v>100</v>
      </c>
      <c r="D369" s="7">
        <v>11</v>
      </c>
      <c r="E369" s="7">
        <v>11</v>
      </c>
      <c r="F369" s="8">
        <v>1</v>
      </c>
      <c r="G369" s="8">
        <v>1</v>
      </c>
      <c r="H369" s="7">
        <v>1</v>
      </c>
      <c r="I369" s="7">
        <v>1</v>
      </c>
      <c r="J369" s="9" t="s">
        <v>219</v>
      </c>
      <c r="K369" s="7">
        <v>1</v>
      </c>
      <c r="L369" s="7" t="s">
        <v>52</v>
      </c>
      <c r="M369" s="7">
        <f t="shared" si="26"/>
        <v>1</v>
      </c>
      <c r="N369" s="9" t="s">
        <v>34</v>
      </c>
      <c r="O369" s="7">
        <v>1</v>
      </c>
      <c r="P369" s="9" t="s">
        <v>33</v>
      </c>
      <c r="Q369" s="7" t="s">
        <v>38</v>
      </c>
      <c r="R369" s="7" t="s">
        <v>38</v>
      </c>
      <c r="S369" s="10" t="s">
        <v>1710</v>
      </c>
      <c r="T369" s="7"/>
      <c r="U369" s="7"/>
      <c r="V369" s="7"/>
      <c r="W369" s="7"/>
      <c r="X369" s="7">
        <v>3</v>
      </c>
      <c r="Y369" s="7"/>
      <c r="Z369" s="7"/>
      <c r="AA369" s="7"/>
      <c r="AB369" s="7">
        <f t="shared" si="28"/>
        <v>1</v>
      </c>
      <c r="AC369" s="7">
        <f t="shared" si="27"/>
        <v>1</v>
      </c>
      <c r="AD369" s="7"/>
      <c r="AE369" s="7"/>
      <c r="AF369" s="7"/>
      <c r="AG369" s="7"/>
      <c r="AH369" s="7"/>
      <c r="AI369" s="7"/>
      <c r="AJ369" s="7"/>
      <c r="AK369" s="7"/>
      <c r="AL369" s="9"/>
      <c r="AM369" s="7" t="s">
        <v>71</v>
      </c>
      <c r="AN369" s="7" t="s">
        <v>71</v>
      </c>
      <c r="AO369" s="12"/>
    </row>
    <row r="370" spans="1:41" s="11" customFormat="1" x14ac:dyDescent="0.25">
      <c r="A370" s="2">
        <v>369</v>
      </c>
      <c r="B370" s="7" t="s">
        <v>370</v>
      </c>
      <c r="C370" s="7" t="s">
        <v>100</v>
      </c>
      <c r="D370" s="7">
        <v>11</v>
      </c>
      <c r="E370" s="7">
        <v>11</v>
      </c>
      <c r="F370" s="8">
        <v>1</v>
      </c>
      <c r="G370" s="8">
        <v>1</v>
      </c>
      <c r="H370" s="9">
        <v>1</v>
      </c>
      <c r="I370" s="9">
        <v>1</v>
      </c>
      <c r="J370" s="9" t="s">
        <v>219</v>
      </c>
      <c r="K370" s="7">
        <v>1</v>
      </c>
      <c r="L370" s="7" t="s">
        <v>52</v>
      </c>
      <c r="M370" s="7">
        <f t="shared" si="26"/>
        <v>1</v>
      </c>
      <c r="N370" s="9" t="s">
        <v>82</v>
      </c>
      <c r="O370" s="7">
        <v>0</v>
      </c>
      <c r="P370" s="9" t="s">
        <v>34</v>
      </c>
      <c r="Q370" s="7" t="s">
        <v>38</v>
      </c>
      <c r="R370" s="7" t="s">
        <v>38</v>
      </c>
      <c r="S370" s="10" t="s">
        <v>1711</v>
      </c>
      <c r="T370" s="7"/>
      <c r="U370" s="7"/>
      <c r="V370" s="7"/>
      <c r="W370" s="7"/>
      <c r="X370" s="7">
        <v>3</v>
      </c>
      <c r="Y370" s="7"/>
      <c r="Z370" s="7"/>
      <c r="AA370" s="7"/>
      <c r="AB370" s="7">
        <f t="shared" si="28"/>
        <v>1</v>
      </c>
      <c r="AC370" s="7">
        <f t="shared" si="27"/>
        <v>1</v>
      </c>
      <c r="AD370" s="7"/>
      <c r="AE370" s="7"/>
      <c r="AF370" s="7"/>
      <c r="AG370" s="7"/>
      <c r="AH370" s="7"/>
      <c r="AI370" s="7"/>
      <c r="AJ370" s="7"/>
      <c r="AK370" s="7"/>
      <c r="AL370" s="9"/>
      <c r="AM370" s="7" t="s">
        <v>71</v>
      </c>
      <c r="AN370" s="7" t="s">
        <v>71</v>
      </c>
      <c r="AO370" s="12"/>
    </row>
    <row r="371" spans="1:41" s="11" customFormat="1" x14ac:dyDescent="0.25">
      <c r="A371" s="2">
        <v>370</v>
      </c>
      <c r="B371" s="7" t="s">
        <v>378</v>
      </c>
      <c r="C371" s="7" t="s">
        <v>100</v>
      </c>
      <c r="D371" s="7">
        <v>5</v>
      </c>
      <c r="E371" s="7">
        <v>5</v>
      </c>
      <c r="F371" s="8">
        <v>1</v>
      </c>
      <c r="G371" s="8">
        <v>1</v>
      </c>
      <c r="H371" s="7">
        <v>1</v>
      </c>
      <c r="I371" s="7">
        <v>1</v>
      </c>
      <c r="J371" s="9" t="s">
        <v>35</v>
      </c>
      <c r="K371" s="7">
        <v>2</v>
      </c>
      <c r="L371" s="7" t="s">
        <v>52</v>
      </c>
      <c r="M371" s="7">
        <f t="shared" si="26"/>
        <v>1</v>
      </c>
      <c r="N371" s="9" t="s">
        <v>34</v>
      </c>
      <c r="O371" s="7">
        <v>0</v>
      </c>
      <c r="P371" s="9" t="s">
        <v>34</v>
      </c>
      <c r="Q371" s="7" t="s">
        <v>52</v>
      </c>
      <c r="R371" s="7" t="s">
        <v>38</v>
      </c>
      <c r="S371" s="7"/>
      <c r="T371" s="7"/>
      <c r="U371" s="7"/>
      <c r="V371" s="7"/>
      <c r="W371" s="7"/>
      <c r="X371" s="7">
        <v>3</v>
      </c>
      <c r="Y371" s="7"/>
      <c r="Z371" s="7"/>
      <c r="AA371" s="7"/>
      <c r="AB371" s="7">
        <f t="shared" si="28"/>
        <v>1</v>
      </c>
      <c r="AC371" s="7">
        <f t="shared" si="27"/>
        <v>1</v>
      </c>
      <c r="AD371" s="7"/>
      <c r="AE371" s="7"/>
      <c r="AF371" s="7"/>
      <c r="AG371" s="7"/>
      <c r="AH371" s="7"/>
      <c r="AI371" s="7"/>
      <c r="AJ371" s="7"/>
      <c r="AK371" s="7"/>
      <c r="AL371" s="9"/>
      <c r="AM371" s="7" t="s">
        <v>67</v>
      </c>
      <c r="AN371" s="7" t="s">
        <v>2847</v>
      </c>
      <c r="AO371" s="7"/>
    </row>
    <row r="372" spans="1:41" s="11" customFormat="1" x14ac:dyDescent="0.25">
      <c r="A372" s="2">
        <v>371</v>
      </c>
      <c r="B372" s="7" t="s">
        <v>378</v>
      </c>
      <c r="C372" s="7" t="s">
        <v>100</v>
      </c>
      <c r="D372" s="7">
        <v>9</v>
      </c>
      <c r="E372" s="7">
        <v>9</v>
      </c>
      <c r="F372" s="8">
        <v>1</v>
      </c>
      <c r="G372" s="8">
        <v>1</v>
      </c>
      <c r="H372" s="9">
        <v>1</v>
      </c>
      <c r="I372" s="9">
        <v>1</v>
      </c>
      <c r="J372" s="9" t="s">
        <v>219</v>
      </c>
      <c r="K372" s="7">
        <v>1</v>
      </c>
      <c r="L372" s="7" t="s">
        <v>52</v>
      </c>
      <c r="M372" s="7">
        <f t="shared" si="26"/>
        <v>1</v>
      </c>
      <c r="N372" s="9" t="s">
        <v>34</v>
      </c>
      <c r="O372" s="7">
        <v>0</v>
      </c>
      <c r="P372" s="9" t="s">
        <v>37</v>
      </c>
      <c r="Q372" s="7" t="s">
        <v>38</v>
      </c>
      <c r="R372" s="7" t="s">
        <v>38</v>
      </c>
      <c r="S372" s="7"/>
      <c r="T372" s="7"/>
      <c r="U372" s="7"/>
      <c r="V372" s="7"/>
      <c r="W372" s="7"/>
      <c r="X372" s="7">
        <v>3</v>
      </c>
      <c r="Y372" s="7"/>
      <c r="Z372" s="7"/>
      <c r="AA372" s="7"/>
      <c r="AB372" s="7">
        <f t="shared" si="28"/>
        <v>1</v>
      </c>
      <c r="AC372" s="7">
        <f t="shared" si="27"/>
        <v>1</v>
      </c>
      <c r="AD372" s="7"/>
      <c r="AE372" s="7"/>
      <c r="AF372" s="7"/>
      <c r="AG372" s="7"/>
      <c r="AH372" s="7"/>
      <c r="AI372" s="7"/>
      <c r="AJ372" s="7"/>
      <c r="AK372" s="7"/>
      <c r="AL372" s="9"/>
      <c r="AM372" s="7" t="s">
        <v>71</v>
      </c>
      <c r="AN372" s="7" t="s">
        <v>71</v>
      </c>
      <c r="AO372" s="12"/>
    </row>
    <row r="373" spans="1:41" s="11" customFormat="1" x14ac:dyDescent="0.25">
      <c r="A373" s="2">
        <v>372</v>
      </c>
      <c r="B373" s="7" t="s">
        <v>379</v>
      </c>
      <c r="C373" s="7" t="s">
        <v>50</v>
      </c>
      <c r="D373" s="7" t="s">
        <v>380</v>
      </c>
      <c r="E373" s="7">
        <v>105</v>
      </c>
      <c r="F373" s="8">
        <v>1</v>
      </c>
      <c r="G373" s="8">
        <v>2</v>
      </c>
      <c r="H373" s="7">
        <v>2</v>
      </c>
      <c r="I373" s="7">
        <v>2</v>
      </c>
      <c r="J373" s="9" t="s">
        <v>77</v>
      </c>
      <c r="K373" s="7">
        <v>1</v>
      </c>
      <c r="L373" s="7" t="s">
        <v>52</v>
      </c>
      <c r="M373" s="7">
        <f t="shared" si="26"/>
        <v>1</v>
      </c>
      <c r="N373" s="9" t="s">
        <v>36</v>
      </c>
      <c r="O373" s="7">
        <v>0</v>
      </c>
      <c r="P373" s="9" t="s">
        <v>63</v>
      </c>
      <c r="Q373" s="7" t="s">
        <v>38</v>
      </c>
      <c r="R373" s="7" t="s">
        <v>38</v>
      </c>
      <c r="S373" s="10" t="s">
        <v>1712</v>
      </c>
      <c r="T373" s="7"/>
      <c r="U373" s="7"/>
      <c r="V373" s="7"/>
      <c r="W373" s="7"/>
      <c r="X373" s="7"/>
      <c r="Y373" s="7">
        <v>90</v>
      </c>
      <c r="Z373" s="7">
        <v>90</v>
      </c>
      <c r="AA373" s="7">
        <v>68</v>
      </c>
      <c r="AB373" s="7">
        <f t="shared" si="28"/>
        <v>30</v>
      </c>
      <c r="AC373" s="7">
        <f t="shared" si="27"/>
        <v>30</v>
      </c>
      <c r="AD373" s="7"/>
      <c r="AE373" s="7"/>
      <c r="AF373" s="7"/>
      <c r="AG373" s="7"/>
      <c r="AH373" s="7"/>
      <c r="AI373" s="7"/>
      <c r="AJ373" s="7"/>
      <c r="AK373" s="7"/>
      <c r="AL373" s="9"/>
      <c r="AM373" s="7" t="s">
        <v>71</v>
      </c>
      <c r="AN373" s="7" t="s">
        <v>71</v>
      </c>
      <c r="AO373" s="7"/>
    </row>
    <row r="374" spans="1:41" s="11" customFormat="1" ht="24" x14ac:dyDescent="0.25">
      <c r="A374" s="2">
        <v>373</v>
      </c>
      <c r="B374" s="7" t="s">
        <v>379</v>
      </c>
      <c r="C374" s="7" t="s">
        <v>381</v>
      </c>
      <c r="D374" s="7" t="s">
        <v>382</v>
      </c>
      <c r="E374" s="7">
        <f>25+8+5</f>
        <v>38</v>
      </c>
      <c r="F374" s="8">
        <v>1</v>
      </c>
      <c r="G374" s="9" t="s">
        <v>383</v>
      </c>
      <c r="H374" s="7" t="s">
        <v>384</v>
      </c>
      <c r="I374" s="7">
        <v>6</v>
      </c>
      <c r="J374" s="9" t="s">
        <v>77</v>
      </c>
      <c r="K374" s="7">
        <v>1</v>
      </c>
      <c r="L374" s="7" t="s">
        <v>38</v>
      </c>
      <c r="M374" s="7">
        <f t="shared" si="26"/>
        <v>0</v>
      </c>
      <c r="N374" s="9" t="s">
        <v>36</v>
      </c>
      <c r="O374" s="7">
        <v>0</v>
      </c>
      <c r="P374" s="9" t="s">
        <v>63</v>
      </c>
      <c r="Q374" s="7" t="s">
        <v>38</v>
      </c>
      <c r="R374" s="7" t="s">
        <v>38</v>
      </c>
      <c r="S374" s="7" t="s">
        <v>307</v>
      </c>
      <c r="T374" s="7"/>
      <c r="U374" s="7"/>
      <c r="V374" s="7"/>
      <c r="W374" s="7"/>
      <c r="X374" s="7">
        <v>3</v>
      </c>
      <c r="Y374" s="7"/>
      <c r="Z374" s="7"/>
      <c r="AA374" s="7"/>
      <c r="AB374" s="7">
        <f t="shared" si="28"/>
        <v>1</v>
      </c>
      <c r="AC374" s="7">
        <f t="shared" si="27"/>
        <v>0</v>
      </c>
      <c r="AD374" s="7"/>
      <c r="AE374" s="7">
        <v>1</v>
      </c>
      <c r="AF374" s="7" t="s">
        <v>40</v>
      </c>
      <c r="AG374" s="7" t="s">
        <v>120</v>
      </c>
      <c r="AH374" s="7"/>
      <c r="AI374" s="7"/>
      <c r="AJ374" s="7"/>
      <c r="AK374" s="7"/>
      <c r="AL374" s="9"/>
      <c r="AM374" s="7" t="s">
        <v>42</v>
      </c>
      <c r="AN374" s="7" t="s">
        <v>42</v>
      </c>
      <c r="AO374" s="10"/>
    </row>
    <row r="375" spans="1:41" s="11" customFormat="1" x14ac:dyDescent="0.25">
      <c r="A375" s="2">
        <v>374</v>
      </c>
      <c r="B375" s="7" t="s">
        <v>379</v>
      </c>
      <c r="C375" s="7" t="s">
        <v>100</v>
      </c>
      <c r="D375" s="7">
        <v>12</v>
      </c>
      <c r="E375" s="7">
        <v>12</v>
      </c>
      <c r="F375" s="8">
        <v>1</v>
      </c>
      <c r="G375" s="8">
        <v>1</v>
      </c>
      <c r="H375" s="7">
        <v>1</v>
      </c>
      <c r="I375" s="7">
        <v>1</v>
      </c>
      <c r="J375" s="9" t="s">
        <v>70</v>
      </c>
      <c r="K375" s="7">
        <v>1</v>
      </c>
      <c r="L375" s="7" t="s">
        <v>52</v>
      </c>
      <c r="M375" s="7">
        <f t="shared" si="26"/>
        <v>1</v>
      </c>
      <c r="N375" s="9" t="s">
        <v>36</v>
      </c>
      <c r="O375" s="7">
        <v>0</v>
      </c>
      <c r="P375" s="9" t="s">
        <v>33</v>
      </c>
      <c r="Q375" s="7" t="s">
        <v>38</v>
      </c>
      <c r="R375" s="7" t="s">
        <v>38</v>
      </c>
      <c r="S375" s="7"/>
      <c r="T375" s="7"/>
      <c r="U375" s="7"/>
      <c r="V375" s="7"/>
      <c r="W375" s="7"/>
      <c r="X375" s="7">
        <v>3</v>
      </c>
      <c r="Y375" s="7"/>
      <c r="Z375" s="7"/>
      <c r="AA375" s="7"/>
      <c r="AB375" s="7">
        <f t="shared" si="28"/>
        <v>1</v>
      </c>
      <c r="AC375" s="7">
        <f t="shared" si="27"/>
        <v>1</v>
      </c>
      <c r="AD375" s="7"/>
      <c r="AE375" s="7">
        <v>1</v>
      </c>
      <c r="AF375" s="7" t="s">
        <v>40</v>
      </c>
      <c r="AG375" s="7"/>
      <c r="AH375" s="7"/>
      <c r="AI375" s="7"/>
      <c r="AJ375" s="7"/>
      <c r="AK375" s="7"/>
      <c r="AL375" s="9"/>
      <c r="AM375" s="7" t="s">
        <v>42</v>
      </c>
      <c r="AN375" s="7" t="s">
        <v>42</v>
      </c>
      <c r="AO375" s="10"/>
    </row>
    <row r="376" spans="1:41" s="11" customFormat="1" ht="24" x14ac:dyDescent="0.25">
      <c r="A376" s="2">
        <v>375</v>
      </c>
      <c r="B376" s="7" t="s">
        <v>379</v>
      </c>
      <c r="C376" s="7" t="s">
        <v>13</v>
      </c>
      <c r="D376" s="7">
        <v>3</v>
      </c>
      <c r="E376" s="7">
        <v>3</v>
      </c>
      <c r="F376" s="8">
        <v>1</v>
      </c>
      <c r="G376" s="8">
        <v>1</v>
      </c>
      <c r="H376" s="7">
        <v>1</v>
      </c>
      <c r="I376" s="7">
        <v>1</v>
      </c>
      <c r="J376" s="9" t="s">
        <v>35</v>
      </c>
      <c r="K376" s="7">
        <v>2</v>
      </c>
      <c r="L376" s="7" t="s">
        <v>52</v>
      </c>
      <c r="M376" s="7">
        <f t="shared" si="26"/>
        <v>1</v>
      </c>
      <c r="N376" s="9" t="s">
        <v>36</v>
      </c>
      <c r="O376" s="7">
        <v>0</v>
      </c>
      <c r="P376" s="9" t="s">
        <v>63</v>
      </c>
      <c r="Q376" s="7" t="s">
        <v>38</v>
      </c>
      <c r="R376" s="7" t="s">
        <v>38</v>
      </c>
      <c r="S376" s="10" t="s">
        <v>1713</v>
      </c>
      <c r="T376" s="7">
        <v>7</v>
      </c>
      <c r="U376" s="7">
        <v>7</v>
      </c>
      <c r="V376" s="7">
        <v>100</v>
      </c>
      <c r="W376" s="7" t="s">
        <v>83</v>
      </c>
      <c r="X376" s="7"/>
      <c r="Y376" s="7"/>
      <c r="Z376" s="7"/>
      <c r="AA376" s="7"/>
      <c r="AB376" s="7">
        <f t="shared" si="28"/>
        <v>2.3333333333333335</v>
      </c>
      <c r="AC376" s="7">
        <f t="shared" si="27"/>
        <v>2.3333333333333335</v>
      </c>
      <c r="AD376" s="7"/>
      <c r="AE376" s="7"/>
      <c r="AF376" s="7"/>
      <c r="AG376" s="7"/>
      <c r="AH376" s="7"/>
      <c r="AI376" s="7"/>
      <c r="AJ376" s="7"/>
      <c r="AK376" s="7"/>
      <c r="AL376" s="9"/>
      <c r="AM376" s="7" t="s">
        <v>42</v>
      </c>
      <c r="AN376" s="7" t="s">
        <v>42</v>
      </c>
      <c r="AO376" s="7"/>
    </row>
    <row r="377" spans="1:41" s="11" customFormat="1" x14ac:dyDescent="0.25">
      <c r="A377" s="2">
        <v>376</v>
      </c>
      <c r="B377" s="7" t="s">
        <v>379</v>
      </c>
      <c r="C377" s="7" t="s">
        <v>104</v>
      </c>
      <c r="D377" s="7">
        <v>8</v>
      </c>
      <c r="E377" s="7">
        <v>8</v>
      </c>
      <c r="F377" s="8">
        <v>1</v>
      </c>
      <c r="G377" s="8">
        <v>1</v>
      </c>
      <c r="H377" s="7">
        <v>1</v>
      </c>
      <c r="I377" s="7">
        <v>1</v>
      </c>
      <c r="J377" s="9" t="s">
        <v>35</v>
      </c>
      <c r="K377" s="7">
        <v>1</v>
      </c>
      <c r="L377" s="7" t="s">
        <v>52</v>
      </c>
      <c r="M377" s="7">
        <f t="shared" si="26"/>
        <v>1</v>
      </c>
      <c r="N377" s="9" t="s">
        <v>34</v>
      </c>
      <c r="O377" s="7">
        <v>0</v>
      </c>
      <c r="P377" s="9" t="s">
        <v>63</v>
      </c>
      <c r="Q377" s="7" t="s">
        <v>38</v>
      </c>
      <c r="R377" s="7" t="s">
        <v>38</v>
      </c>
      <c r="S377" s="10" t="s">
        <v>1714</v>
      </c>
      <c r="T377" s="7"/>
      <c r="U377" s="7"/>
      <c r="V377" s="7"/>
      <c r="W377" s="7"/>
      <c r="X377" s="7">
        <v>3</v>
      </c>
      <c r="Y377" s="7"/>
      <c r="Z377" s="7"/>
      <c r="AA377" s="7"/>
      <c r="AB377" s="7">
        <f t="shared" si="28"/>
        <v>1</v>
      </c>
      <c r="AC377" s="7">
        <f t="shared" si="27"/>
        <v>1</v>
      </c>
      <c r="AD377" s="7"/>
      <c r="AE377" s="7">
        <v>1</v>
      </c>
      <c r="AF377" s="7" t="s">
        <v>40</v>
      </c>
      <c r="AG377" s="7" t="s">
        <v>385</v>
      </c>
      <c r="AH377" s="7"/>
      <c r="AI377" s="7"/>
      <c r="AJ377" s="7"/>
      <c r="AK377" s="7"/>
      <c r="AL377" s="9"/>
      <c r="AM377" s="7" t="s">
        <v>71</v>
      </c>
      <c r="AN377" s="7" t="s">
        <v>71</v>
      </c>
      <c r="AO377" s="7"/>
    </row>
    <row r="378" spans="1:41" s="11" customFormat="1" x14ac:dyDescent="0.25">
      <c r="A378" s="2">
        <v>377</v>
      </c>
      <c r="B378" s="7" t="s">
        <v>379</v>
      </c>
      <c r="C378" s="7" t="s">
        <v>89</v>
      </c>
      <c r="D378" s="7" t="s">
        <v>146</v>
      </c>
      <c r="E378" s="7">
        <v>5</v>
      </c>
      <c r="F378" s="8">
        <v>1</v>
      </c>
      <c r="G378" s="8">
        <v>1</v>
      </c>
      <c r="H378" s="7">
        <v>1</v>
      </c>
      <c r="I378" s="7">
        <v>1</v>
      </c>
      <c r="J378" s="9" t="s">
        <v>35</v>
      </c>
      <c r="K378" s="7">
        <v>1</v>
      </c>
      <c r="L378" s="7" t="s">
        <v>52</v>
      </c>
      <c r="M378" s="7">
        <f t="shared" si="26"/>
        <v>1</v>
      </c>
      <c r="N378" s="9" t="s">
        <v>36</v>
      </c>
      <c r="O378" s="7">
        <v>0</v>
      </c>
      <c r="P378" s="9" t="s">
        <v>63</v>
      </c>
      <c r="Q378" s="7" t="s">
        <v>38</v>
      </c>
      <c r="R378" s="7" t="s">
        <v>38</v>
      </c>
      <c r="S378" s="7"/>
      <c r="T378" s="7"/>
      <c r="U378" s="7"/>
      <c r="V378" s="7"/>
      <c r="W378" s="7"/>
      <c r="X378" s="7">
        <v>3</v>
      </c>
      <c r="Y378" s="7"/>
      <c r="Z378" s="7"/>
      <c r="AA378" s="7"/>
      <c r="AB378" s="7">
        <f t="shared" si="28"/>
        <v>1</v>
      </c>
      <c r="AC378" s="7">
        <f t="shared" si="27"/>
        <v>1</v>
      </c>
      <c r="AD378" s="7"/>
      <c r="AE378" s="7"/>
      <c r="AF378" s="7"/>
      <c r="AG378" s="7"/>
      <c r="AH378" s="7"/>
      <c r="AI378" s="7"/>
      <c r="AJ378" s="7"/>
      <c r="AK378" s="7"/>
      <c r="AL378" s="9"/>
      <c r="AM378" s="7" t="s">
        <v>71</v>
      </c>
      <c r="AN378" s="7" t="s">
        <v>71</v>
      </c>
      <c r="AO378" s="12"/>
    </row>
    <row r="379" spans="1:41" s="11" customFormat="1" x14ac:dyDescent="0.25">
      <c r="A379" s="2">
        <v>378</v>
      </c>
      <c r="B379" s="7" t="s">
        <v>379</v>
      </c>
      <c r="C379" s="7" t="s">
        <v>100</v>
      </c>
      <c r="D379" s="7">
        <v>2</v>
      </c>
      <c r="E379" s="7">
        <v>2</v>
      </c>
      <c r="F379" s="8">
        <v>1</v>
      </c>
      <c r="G379" s="8">
        <v>1</v>
      </c>
      <c r="H379" s="7">
        <v>1</v>
      </c>
      <c r="I379" s="7">
        <v>1</v>
      </c>
      <c r="J379" s="9" t="s">
        <v>35</v>
      </c>
      <c r="K379" s="7">
        <v>1</v>
      </c>
      <c r="L379" s="7" t="s">
        <v>52</v>
      </c>
      <c r="M379" s="7">
        <f t="shared" si="26"/>
        <v>1</v>
      </c>
      <c r="N379" s="9" t="s">
        <v>36</v>
      </c>
      <c r="O379" s="7">
        <v>0</v>
      </c>
      <c r="P379" s="9" t="s">
        <v>33</v>
      </c>
      <c r="Q379" s="7" t="s">
        <v>38</v>
      </c>
      <c r="R379" s="7" t="s">
        <v>38</v>
      </c>
      <c r="S379" s="10" t="s">
        <v>1715</v>
      </c>
      <c r="T379" s="7"/>
      <c r="U379" s="7"/>
      <c r="V379" s="7"/>
      <c r="W379" s="7"/>
      <c r="X379" s="7">
        <v>3</v>
      </c>
      <c r="Y379" s="7"/>
      <c r="Z379" s="7"/>
      <c r="AA379" s="7"/>
      <c r="AB379" s="7">
        <f t="shared" si="28"/>
        <v>1</v>
      </c>
      <c r="AC379" s="7">
        <f t="shared" si="27"/>
        <v>1</v>
      </c>
      <c r="AD379" s="7"/>
      <c r="AE379" s="7">
        <v>1</v>
      </c>
      <c r="AF379" s="7"/>
      <c r="AG379" s="7"/>
      <c r="AH379" s="7"/>
      <c r="AI379" s="7"/>
      <c r="AJ379" s="7"/>
      <c r="AK379" s="7"/>
      <c r="AL379" s="9"/>
      <c r="AM379" s="7" t="s">
        <v>71</v>
      </c>
      <c r="AN379" s="7" t="s">
        <v>71</v>
      </c>
      <c r="AO379" s="12"/>
    </row>
    <row r="380" spans="1:41" s="11" customFormat="1" x14ac:dyDescent="0.25">
      <c r="A380" s="2">
        <v>379</v>
      </c>
      <c r="B380" s="7" t="s">
        <v>379</v>
      </c>
      <c r="C380" s="7" t="s">
        <v>89</v>
      </c>
      <c r="D380" s="7" t="s">
        <v>386</v>
      </c>
      <c r="E380" s="7">
        <v>8</v>
      </c>
      <c r="F380" s="8">
        <v>3</v>
      </c>
      <c r="G380" s="8">
        <v>1</v>
      </c>
      <c r="H380" s="7">
        <v>1</v>
      </c>
      <c r="I380" s="7">
        <v>1</v>
      </c>
      <c r="J380" s="9" t="s">
        <v>35</v>
      </c>
      <c r="K380" s="7">
        <v>2</v>
      </c>
      <c r="L380" s="7" t="s">
        <v>52</v>
      </c>
      <c r="M380" s="7">
        <f t="shared" si="26"/>
        <v>3</v>
      </c>
      <c r="N380" s="9" t="s">
        <v>36</v>
      </c>
      <c r="O380" s="7">
        <v>0</v>
      </c>
      <c r="P380" s="9" t="s">
        <v>63</v>
      </c>
      <c r="Q380" s="7" t="s">
        <v>38</v>
      </c>
      <c r="R380" s="7" t="s">
        <v>38</v>
      </c>
      <c r="S380" s="10" t="s">
        <v>1716</v>
      </c>
      <c r="T380" s="7"/>
      <c r="U380" s="7"/>
      <c r="V380" s="7"/>
      <c r="W380" s="7"/>
      <c r="X380" s="7">
        <v>3</v>
      </c>
      <c r="Y380" s="7"/>
      <c r="Z380" s="7"/>
      <c r="AA380" s="7"/>
      <c r="AB380" s="7">
        <f t="shared" si="28"/>
        <v>1</v>
      </c>
      <c r="AC380" s="7">
        <f t="shared" si="27"/>
        <v>1</v>
      </c>
      <c r="AD380" s="7"/>
      <c r="AE380" s="7" t="s">
        <v>55</v>
      </c>
      <c r="AF380" s="7"/>
      <c r="AG380" s="7" t="s">
        <v>387</v>
      </c>
      <c r="AH380" s="7"/>
      <c r="AI380" s="7"/>
      <c r="AJ380" s="7"/>
      <c r="AK380" s="7"/>
      <c r="AL380" s="9"/>
      <c r="AM380" s="7" t="s">
        <v>71</v>
      </c>
      <c r="AN380" s="7" t="s">
        <v>71</v>
      </c>
      <c r="AO380" s="12"/>
    </row>
    <row r="381" spans="1:41" s="11" customFormat="1" ht="24" x14ac:dyDescent="0.25">
      <c r="A381" s="2">
        <v>380</v>
      </c>
      <c r="B381" s="7" t="s">
        <v>379</v>
      </c>
      <c r="C381" s="7" t="s">
        <v>78</v>
      </c>
      <c r="D381" s="7">
        <v>8</v>
      </c>
      <c r="E381" s="7">
        <v>8</v>
      </c>
      <c r="F381" s="8">
        <v>1</v>
      </c>
      <c r="G381" s="8">
        <v>1</v>
      </c>
      <c r="H381" s="7">
        <v>1</v>
      </c>
      <c r="I381" s="7">
        <v>1</v>
      </c>
      <c r="J381" s="9" t="s">
        <v>219</v>
      </c>
      <c r="K381" s="7">
        <v>5</v>
      </c>
      <c r="L381" s="7" t="s">
        <v>52</v>
      </c>
      <c r="M381" s="7">
        <f t="shared" si="26"/>
        <v>1</v>
      </c>
      <c r="N381" s="9" t="s">
        <v>36</v>
      </c>
      <c r="O381" s="7">
        <v>3</v>
      </c>
      <c r="P381" s="9" t="s">
        <v>37</v>
      </c>
      <c r="Q381" s="7" t="s">
        <v>38</v>
      </c>
      <c r="R381" s="7" t="s">
        <v>52</v>
      </c>
      <c r="S381" s="10" t="s">
        <v>1717</v>
      </c>
      <c r="T381" s="7" t="s">
        <v>92</v>
      </c>
      <c r="U381" s="7">
        <v>3</v>
      </c>
      <c r="V381" s="7" t="s">
        <v>199</v>
      </c>
      <c r="W381" s="7" t="s">
        <v>388</v>
      </c>
      <c r="X381" s="7"/>
      <c r="Y381" s="7"/>
      <c r="Z381" s="7"/>
      <c r="AA381" s="7"/>
      <c r="AB381" s="7">
        <f t="shared" si="28"/>
        <v>1</v>
      </c>
      <c r="AC381" s="7">
        <f t="shared" si="27"/>
        <v>1</v>
      </c>
      <c r="AD381" s="7"/>
      <c r="AE381" s="7"/>
      <c r="AF381" s="7"/>
      <c r="AG381" s="7"/>
      <c r="AH381" s="7"/>
      <c r="AI381" s="7"/>
      <c r="AJ381" s="7"/>
      <c r="AK381" s="7"/>
      <c r="AL381" s="9"/>
      <c r="AM381" s="7" t="s">
        <v>71</v>
      </c>
      <c r="AN381" s="7" t="s">
        <v>71</v>
      </c>
      <c r="AO381" s="7"/>
    </row>
    <row r="382" spans="1:41" s="11" customFormat="1" x14ac:dyDescent="0.25">
      <c r="A382" s="2">
        <v>381</v>
      </c>
      <c r="B382" s="7" t="s">
        <v>379</v>
      </c>
      <c r="C382" s="7" t="s">
        <v>100</v>
      </c>
      <c r="D382" s="7">
        <v>5</v>
      </c>
      <c r="E382" s="7">
        <v>5</v>
      </c>
      <c r="F382" s="8">
        <v>1</v>
      </c>
      <c r="G382" s="8">
        <v>1</v>
      </c>
      <c r="H382" s="7">
        <v>1</v>
      </c>
      <c r="I382" s="7">
        <v>1</v>
      </c>
      <c r="J382" s="9" t="s">
        <v>219</v>
      </c>
      <c r="K382" s="7">
        <v>5</v>
      </c>
      <c r="L382" s="7" t="s">
        <v>52</v>
      </c>
      <c r="M382" s="7">
        <f t="shared" si="26"/>
        <v>1</v>
      </c>
      <c r="N382" s="9" t="s">
        <v>36</v>
      </c>
      <c r="O382" s="7">
        <v>2</v>
      </c>
      <c r="P382" s="9" t="s">
        <v>34</v>
      </c>
      <c r="Q382" s="7" t="s">
        <v>38</v>
      </c>
      <c r="R382" s="7" t="s">
        <v>38</v>
      </c>
      <c r="S382" s="10" t="s">
        <v>1718</v>
      </c>
      <c r="T382" s="7"/>
      <c r="U382" s="7"/>
      <c r="V382" s="7"/>
      <c r="W382" s="7"/>
      <c r="X382" s="7">
        <v>3</v>
      </c>
      <c r="Y382" s="7"/>
      <c r="Z382" s="7"/>
      <c r="AA382" s="7"/>
      <c r="AB382" s="7">
        <f t="shared" si="28"/>
        <v>1</v>
      </c>
      <c r="AC382" s="7">
        <f t="shared" si="27"/>
        <v>1</v>
      </c>
      <c r="AD382" s="7"/>
      <c r="AE382" s="7"/>
      <c r="AF382" s="7"/>
      <c r="AG382" s="7"/>
      <c r="AH382" s="7"/>
      <c r="AI382" s="7"/>
      <c r="AJ382" s="7"/>
      <c r="AK382" s="7"/>
      <c r="AL382" s="9"/>
      <c r="AM382" s="7" t="s">
        <v>71</v>
      </c>
      <c r="AN382" s="7" t="s">
        <v>71</v>
      </c>
      <c r="AO382" s="12"/>
    </row>
    <row r="383" spans="1:41" s="11" customFormat="1" x14ac:dyDescent="0.25">
      <c r="A383" s="2">
        <v>382</v>
      </c>
      <c r="B383" s="7" t="s">
        <v>379</v>
      </c>
      <c r="C383" s="7" t="s">
        <v>89</v>
      </c>
      <c r="D383" s="7" t="s">
        <v>389</v>
      </c>
      <c r="E383" s="7">
        <v>20</v>
      </c>
      <c r="F383" s="8">
        <v>2</v>
      </c>
      <c r="G383" s="8">
        <v>2</v>
      </c>
      <c r="H383" s="7" t="s">
        <v>87</v>
      </c>
      <c r="I383" s="7">
        <v>2</v>
      </c>
      <c r="J383" s="9" t="s">
        <v>219</v>
      </c>
      <c r="K383" s="7">
        <v>5</v>
      </c>
      <c r="L383" s="7" t="s">
        <v>52</v>
      </c>
      <c r="M383" s="7">
        <f t="shared" si="26"/>
        <v>2</v>
      </c>
      <c r="N383" s="9" t="s">
        <v>36</v>
      </c>
      <c r="O383" s="7">
        <v>1</v>
      </c>
      <c r="P383" s="9" t="s">
        <v>63</v>
      </c>
      <c r="Q383" s="7" t="s">
        <v>38</v>
      </c>
      <c r="R383" s="7" t="s">
        <v>38</v>
      </c>
      <c r="S383" s="10" t="s">
        <v>1719</v>
      </c>
      <c r="T383" s="7"/>
      <c r="U383" s="7"/>
      <c r="V383" s="7"/>
      <c r="W383" s="7"/>
      <c r="X383" s="7">
        <v>3</v>
      </c>
      <c r="Y383" s="7"/>
      <c r="Z383" s="7"/>
      <c r="AA383" s="7"/>
      <c r="AB383" s="7">
        <f t="shared" si="28"/>
        <v>1</v>
      </c>
      <c r="AC383" s="7">
        <f t="shared" si="27"/>
        <v>1</v>
      </c>
      <c r="AD383" s="7"/>
      <c r="AE383" s="7"/>
      <c r="AF383" s="7"/>
      <c r="AG383" s="7"/>
      <c r="AH383" s="7"/>
      <c r="AI383" s="7"/>
      <c r="AJ383" s="7"/>
      <c r="AK383" s="7"/>
      <c r="AL383" s="9"/>
      <c r="AM383" s="7" t="s">
        <v>71</v>
      </c>
      <c r="AN383" s="7" t="s">
        <v>71</v>
      </c>
      <c r="AO383" s="12"/>
    </row>
    <row r="384" spans="1:41" s="11" customFormat="1" ht="24" x14ac:dyDescent="0.25">
      <c r="A384" s="2">
        <v>383</v>
      </c>
      <c r="B384" s="7" t="s">
        <v>379</v>
      </c>
      <c r="C384" s="7" t="s">
        <v>78</v>
      </c>
      <c r="D384" s="7">
        <v>11</v>
      </c>
      <c r="E384" s="7">
        <v>11</v>
      </c>
      <c r="F384" s="8">
        <v>1</v>
      </c>
      <c r="G384" s="8">
        <v>1</v>
      </c>
      <c r="H384" s="7">
        <v>1</v>
      </c>
      <c r="I384" s="7">
        <v>1</v>
      </c>
      <c r="J384" s="9" t="s">
        <v>219</v>
      </c>
      <c r="K384" s="7">
        <v>1</v>
      </c>
      <c r="L384" s="7" t="s">
        <v>52</v>
      </c>
      <c r="M384" s="7">
        <f t="shared" si="26"/>
        <v>1</v>
      </c>
      <c r="N384" s="9" t="s">
        <v>36</v>
      </c>
      <c r="O384" s="7">
        <v>0</v>
      </c>
      <c r="P384" s="9" t="s">
        <v>33</v>
      </c>
      <c r="Q384" s="7" t="s">
        <v>38</v>
      </c>
      <c r="R384" s="7" t="s">
        <v>38</v>
      </c>
      <c r="S384" s="10" t="s">
        <v>1720</v>
      </c>
      <c r="T384" s="7">
        <v>6</v>
      </c>
      <c r="U384" s="7">
        <v>6</v>
      </c>
      <c r="V384" s="7">
        <v>160</v>
      </c>
      <c r="W384" s="7" t="s">
        <v>390</v>
      </c>
      <c r="X384" s="7"/>
      <c r="Y384" s="7"/>
      <c r="Z384" s="7"/>
      <c r="AA384" s="7"/>
      <c r="AB384" s="7">
        <f t="shared" ref="AB384:AB389" si="29">(U384+X384+Z384)/3</f>
        <v>2</v>
      </c>
      <c r="AC384" s="7">
        <f t="shared" si="27"/>
        <v>2</v>
      </c>
      <c r="AD384" s="7"/>
      <c r="AE384" s="7"/>
      <c r="AF384" s="7"/>
      <c r="AG384" s="7"/>
      <c r="AH384" s="7"/>
      <c r="AI384" s="7"/>
      <c r="AJ384" s="7"/>
      <c r="AK384" s="7"/>
      <c r="AL384" s="9"/>
      <c r="AM384" s="7" t="s">
        <v>71</v>
      </c>
      <c r="AN384" s="7" t="s">
        <v>71</v>
      </c>
      <c r="AO384" s="7"/>
    </row>
    <row r="385" spans="1:41" s="11" customFormat="1" x14ac:dyDescent="0.25">
      <c r="A385" s="2">
        <v>384</v>
      </c>
      <c r="B385" s="7" t="s">
        <v>379</v>
      </c>
      <c r="C385" s="7" t="s">
        <v>100</v>
      </c>
      <c r="D385" s="7">
        <v>31</v>
      </c>
      <c r="E385" s="7">
        <v>31</v>
      </c>
      <c r="F385" s="8">
        <v>1</v>
      </c>
      <c r="G385" s="8">
        <v>1</v>
      </c>
      <c r="H385" s="7">
        <v>1</v>
      </c>
      <c r="I385" s="7">
        <v>1</v>
      </c>
      <c r="J385" s="9" t="s">
        <v>219</v>
      </c>
      <c r="K385" s="7">
        <v>1</v>
      </c>
      <c r="L385" s="7" t="s">
        <v>52</v>
      </c>
      <c r="M385" s="7">
        <f t="shared" si="26"/>
        <v>1</v>
      </c>
      <c r="N385" s="9" t="s">
        <v>36</v>
      </c>
      <c r="O385" s="7">
        <v>0</v>
      </c>
      <c r="P385" s="9" t="s">
        <v>63</v>
      </c>
      <c r="Q385" s="7" t="s">
        <v>38</v>
      </c>
      <c r="R385" s="7" t="s">
        <v>52</v>
      </c>
      <c r="S385" s="10" t="s">
        <v>1721</v>
      </c>
      <c r="T385" s="7"/>
      <c r="U385" s="7"/>
      <c r="V385" s="7"/>
      <c r="W385" s="7"/>
      <c r="X385" s="7">
        <v>3</v>
      </c>
      <c r="Y385" s="7"/>
      <c r="Z385" s="7"/>
      <c r="AA385" s="7"/>
      <c r="AB385" s="7">
        <f t="shared" si="29"/>
        <v>1</v>
      </c>
      <c r="AC385" s="7">
        <f t="shared" si="27"/>
        <v>1</v>
      </c>
      <c r="AD385" s="7"/>
      <c r="AE385" s="7"/>
      <c r="AF385" s="7"/>
      <c r="AG385" s="7"/>
      <c r="AH385" s="7"/>
      <c r="AI385" s="7"/>
      <c r="AJ385" s="7"/>
      <c r="AK385" s="7"/>
      <c r="AL385" s="9"/>
      <c r="AM385" s="7" t="s">
        <v>215</v>
      </c>
      <c r="AN385" s="7" t="s">
        <v>2850</v>
      </c>
      <c r="AO385" s="7"/>
    </row>
    <row r="386" spans="1:41" s="11" customFormat="1" x14ac:dyDescent="0.25">
      <c r="A386" s="2">
        <v>385</v>
      </c>
      <c r="B386" s="7" t="s">
        <v>379</v>
      </c>
      <c r="C386" s="7" t="s">
        <v>89</v>
      </c>
      <c r="D386" s="7" t="s">
        <v>391</v>
      </c>
      <c r="E386" s="7">
        <f>17+4+1</f>
        <v>22</v>
      </c>
      <c r="F386" s="8">
        <v>3</v>
      </c>
      <c r="G386" s="8">
        <v>4</v>
      </c>
      <c r="H386" s="7" t="s">
        <v>143</v>
      </c>
      <c r="I386" s="7">
        <v>4</v>
      </c>
      <c r="J386" s="9" t="s">
        <v>219</v>
      </c>
      <c r="K386" s="7">
        <v>1</v>
      </c>
      <c r="L386" s="7" t="s">
        <v>52</v>
      </c>
      <c r="M386" s="7">
        <f t="shared" ref="M386:M449" si="30">IF(L386="n",F386,0)</f>
        <v>3</v>
      </c>
      <c r="N386" s="9" t="s">
        <v>36</v>
      </c>
      <c r="O386" s="7">
        <v>0</v>
      </c>
      <c r="P386" s="9" t="s">
        <v>63</v>
      </c>
      <c r="Q386" s="7" t="s">
        <v>38</v>
      </c>
      <c r="R386" s="7" t="s">
        <v>38</v>
      </c>
      <c r="S386" s="10" t="s">
        <v>1722</v>
      </c>
      <c r="T386" s="7"/>
      <c r="U386" s="7"/>
      <c r="V386" s="7"/>
      <c r="W386" s="7"/>
      <c r="X386" s="7">
        <v>3</v>
      </c>
      <c r="Y386" s="7"/>
      <c r="Z386" s="7"/>
      <c r="AA386" s="7"/>
      <c r="AB386" s="7">
        <f t="shared" si="29"/>
        <v>1</v>
      </c>
      <c r="AC386" s="7">
        <f t="shared" ref="AC386:AC449" si="31">IF(L386="n",AB386,0)</f>
        <v>1</v>
      </c>
      <c r="AD386" s="7"/>
      <c r="AE386" s="7"/>
      <c r="AF386" s="7"/>
      <c r="AG386" s="7"/>
      <c r="AH386" s="7"/>
      <c r="AI386" s="7"/>
      <c r="AJ386" s="7"/>
      <c r="AK386" s="7"/>
      <c r="AL386" s="9"/>
      <c r="AM386" s="7" t="s">
        <v>71</v>
      </c>
      <c r="AN386" s="7" t="s">
        <v>71</v>
      </c>
      <c r="AO386" s="12"/>
    </row>
    <row r="387" spans="1:41" s="11" customFormat="1" x14ac:dyDescent="0.25">
      <c r="A387" s="2">
        <v>386</v>
      </c>
      <c r="B387" s="7" t="s">
        <v>379</v>
      </c>
      <c r="C387" s="7" t="s">
        <v>89</v>
      </c>
      <c r="D387" s="7" t="s">
        <v>159</v>
      </c>
      <c r="E387" s="7">
        <v>6</v>
      </c>
      <c r="F387" s="8">
        <v>2</v>
      </c>
      <c r="G387" s="8">
        <v>2</v>
      </c>
      <c r="H387" s="7" t="s">
        <v>87</v>
      </c>
      <c r="I387" s="7">
        <v>2</v>
      </c>
      <c r="J387" s="9" t="s">
        <v>35</v>
      </c>
      <c r="K387" s="7">
        <v>2</v>
      </c>
      <c r="L387" s="7" t="s">
        <v>52</v>
      </c>
      <c r="M387" s="7">
        <f t="shared" si="30"/>
        <v>2</v>
      </c>
      <c r="N387" s="9" t="s">
        <v>36</v>
      </c>
      <c r="O387" s="7">
        <v>0</v>
      </c>
      <c r="P387" s="9" t="s">
        <v>63</v>
      </c>
      <c r="Q387" s="7" t="s">
        <v>38</v>
      </c>
      <c r="R387" s="7" t="s">
        <v>38</v>
      </c>
      <c r="S387" s="10" t="s">
        <v>1723</v>
      </c>
      <c r="T387" s="7"/>
      <c r="U387" s="7"/>
      <c r="V387" s="7"/>
      <c r="W387" s="7"/>
      <c r="X387" s="7">
        <v>3</v>
      </c>
      <c r="Y387" s="7"/>
      <c r="Z387" s="7"/>
      <c r="AA387" s="7"/>
      <c r="AB387" s="7">
        <f t="shared" si="29"/>
        <v>1</v>
      </c>
      <c r="AC387" s="7">
        <f t="shared" si="31"/>
        <v>1</v>
      </c>
      <c r="AD387" s="7"/>
      <c r="AE387" s="7"/>
      <c r="AF387" s="7"/>
      <c r="AG387" s="7"/>
      <c r="AH387" s="7"/>
      <c r="AI387" s="7"/>
      <c r="AJ387" s="7"/>
      <c r="AK387" s="7"/>
      <c r="AL387" s="9"/>
      <c r="AM387" s="7" t="s">
        <v>71</v>
      </c>
      <c r="AN387" s="7" t="s">
        <v>71</v>
      </c>
      <c r="AO387" s="12"/>
    </row>
    <row r="388" spans="1:41" s="11" customFormat="1" x14ac:dyDescent="0.25">
      <c r="A388" s="2">
        <v>387</v>
      </c>
      <c r="B388" s="7" t="s">
        <v>379</v>
      </c>
      <c r="C388" s="7" t="s">
        <v>50</v>
      </c>
      <c r="D388" s="7" t="s">
        <v>392</v>
      </c>
      <c r="E388" s="7">
        <v>53</v>
      </c>
      <c r="F388" s="8">
        <v>1</v>
      </c>
      <c r="G388" s="8">
        <v>2</v>
      </c>
      <c r="H388" s="7">
        <v>2</v>
      </c>
      <c r="I388" s="7">
        <v>2</v>
      </c>
      <c r="J388" s="9" t="s">
        <v>35</v>
      </c>
      <c r="K388" s="7">
        <v>2</v>
      </c>
      <c r="L388" s="7" t="s">
        <v>52</v>
      </c>
      <c r="M388" s="7">
        <f t="shared" si="30"/>
        <v>1</v>
      </c>
      <c r="N388" s="9" t="s">
        <v>34</v>
      </c>
      <c r="O388" s="7">
        <v>1</v>
      </c>
      <c r="P388" s="9" t="s">
        <v>63</v>
      </c>
      <c r="Q388" s="7" t="s">
        <v>38</v>
      </c>
      <c r="R388" s="7" t="s">
        <v>38</v>
      </c>
      <c r="S388" s="10" t="s">
        <v>1724</v>
      </c>
      <c r="T388" s="7"/>
      <c r="U388" s="7"/>
      <c r="V388" s="7"/>
      <c r="W388" s="7"/>
      <c r="X388" s="7"/>
      <c r="Y388" s="7">
        <v>55</v>
      </c>
      <c r="Z388" s="7">
        <v>55</v>
      </c>
      <c r="AA388" s="7">
        <v>63</v>
      </c>
      <c r="AB388" s="7">
        <f t="shared" si="29"/>
        <v>18.333333333333332</v>
      </c>
      <c r="AC388" s="7">
        <f t="shared" si="31"/>
        <v>18.333333333333332</v>
      </c>
      <c r="AD388" s="7"/>
      <c r="AE388" s="7"/>
      <c r="AF388" s="7"/>
      <c r="AG388" s="7"/>
      <c r="AH388" s="7"/>
      <c r="AI388" s="7"/>
      <c r="AJ388" s="7"/>
      <c r="AK388" s="7"/>
      <c r="AL388" s="9"/>
      <c r="AM388" s="7" t="s">
        <v>42</v>
      </c>
      <c r="AN388" s="7" t="s">
        <v>42</v>
      </c>
      <c r="AO388" s="7"/>
    </row>
    <row r="389" spans="1:41" s="11" customFormat="1" ht="24" x14ac:dyDescent="0.25">
      <c r="A389" s="2">
        <v>388</v>
      </c>
      <c r="B389" s="7" t="s">
        <v>379</v>
      </c>
      <c r="C389" s="7" t="s">
        <v>50</v>
      </c>
      <c r="D389" s="7">
        <v>25</v>
      </c>
      <c r="E389" s="7">
        <v>25</v>
      </c>
      <c r="F389" s="8">
        <v>1</v>
      </c>
      <c r="G389" s="8">
        <v>1</v>
      </c>
      <c r="H389" s="7">
        <v>1</v>
      </c>
      <c r="I389" s="7">
        <v>1</v>
      </c>
      <c r="J389" s="9" t="s">
        <v>77</v>
      </c>
      <c r="K389" s="7">
        <v>1</v>
      </c>
      <c r="L389" s="7" t="s">
        <v>52</v>
      </c>
      <c r="M389" s="7">
        <f t="shared" si="30"/>
        <v>1</v>
      </c>
      <c r="N389" s="9" t="s">
        <v>36</v>
      </c>
      <c r="O389" s="7">
        <v>0</v>
      </c>
      <c r="P389" s="9" t="s">
        <v>63</v>
      </c>
      <c r="Q389" s="7" t="s">
        <v>38</v>
      </c>
      <c r="R389" s="7" t="s">
        <v>38</v>
      </c>
      <c r="S389" s="10" t="s">
        <v>1725</v>
      </c>
      <c r="T389" s="7"/>
      <c r="U389" s="7"/>
      <c r="V389" s="7"/>
      <c r="W389" s="7"/>
      <c r="X389" s="7"/>
      <c r="Y389" s="7">
        <v>15</v>
      </c>
      <c r="Z389" s="7">
        <v>15</v>
      </c>
      <c r="AA389" s="7">
        <v>90</v>
      </c>
      <c r="AB389" s="7">
        <f t="shared" si="29"/>
        <v>5</v>
      </c>
      <c r="AC389" s="7">
        <f t="shared" si="31"/>
        <v>5</v>
      </c>
      <c r="AD389" s="7"/>
      <c r="AE389" s="7"/>
      <c r="AF389" s="7"/>
      <c r="AG389" s="7"/>
      <c r="AH389" s="7"/>
      <c r="AI389" s="7"/>
      <c r="AJ389" s="10" t="s">
        <v>2348</v>
      </c>
      <c r="AK389" s="7"/>
      <c r="AL389" s="9"/>
      <c r="AM389" s="7" t="s">
        <v>42</v>
      </c>
      <c r="AN389" s="7" t="s">
        <v>42</v>
      </c>
      <c r="AO389" s="7"/>
    </row>
    <row r="390" spans="1:41" s="11" customFormat="1" x14ac:dyDescent="0.25">
      <c r="A390" s="2">
        <v>389</v>
      </c>
      <c r="B390" s="7" t="s">
        <v>379</v>
      </c>
      <c r="C390" s="7" t="s">
        <v>119</v>
      </c>
      <c r="D390" s="7" t="s">
        <v>146</v>
      </c>
      <c r="E390" s="7">
        <v>5</v>
      </c>
      <c r="F390" s="8">
        <v>1</v>
      </c>
      <c r="G390" s="8">
        <v>2</v>
      </c>
      <c r="H390" s="7" t="s">
        <v>87</v>
      </c>
      <c r="I390" s="7">
        <v>2</v>
      </c>
      <c r="J390" s="9" t="s">
        <v>77</v>
      </c>
      <c r="K390" s="7">
        <v>1</v>
      </c>
      <c r="L390" s="7" t="s">
        <v>38</v>
      </c>
      <c r="M390" s="7">
        <f t="shared" si="30"/>
        <v>0</v>
      </c>
      <c r="N390" s="9" t="s">
        <v>34</v>
      </c>
      <c r="O390" s="7">
        <v>0</v>
      </c>
      <c r="P390" s="9" t="s">
        <v>63</v>
      </c>
      <c r="Q390" s="7"/>
      <c r="R390" s="7" t="s">
        <v>38</v>
      </c>
      <c r="S390" s="10" t="s">
        <v>1726</v>
      </c>
      <c r="T390" s="7"/>
      <c r="U390" s="7"/>
      <c r="V390" s="7"/>
      <c r="W390" s="7"/>
      <c r="X390" s="7"/>
      <c r="Y390" s="7"/>
      <c r="Z390" s="7"/>
      <c r="AA390" s="7"/>
      <c r="AB390" s="7">
        <v>0.33333333333333298</v>
      </c>
      <c r="AC390" s="7">
        <f t="shared" si="31"/>
        <v>0</v>
      </c>
      <c r="AD390" s="7">
        <v>1</v>
      </c>
      <c r="AE390" s="7"/>
      <c r="AF390" s="7" t="s">
        <v>40</v>
      </c>
      <c r="AG390" s="7" t="s">
        <v>393</v>
      </c>
      <c r="AH390" s="7"/>
      <c r="AI390" s="7"/>
      <c r="AJ390" s="7"/>
      <c r="AK390" s="7"/>
      <c r="AL390" s="9"/>
      <c r="AM390" s="7" t="s">
        <v>71</v>
      </c>
      <c r="AN390" s="7" t="s">
        <v>71</v>
      </c>
      <c r="AO390" s="7"/>
    </row>
    <row r="391" spans="1:41" s="11" customFormat="1" x14ac:dyDescent="0.25">
      <c r="A391" s="2">
        <v>390</v>
      </c>
      <c r="B391" s="7" t="s">
        <v>379</v>
      </c>
      <c r="C391" s="7" t="s">
        <v>104</v>
      </c>
      <c r="D391" s="7">
        <v>3</v>
      </c>
      <c r="E391" s="7">
        <v>3</v>
      </c>
      <c r="F391" s="8">
        <v>1</v>
      </c>
      <c r="G391" s="8">
        <v>1</v>
      </c>
      <c r="H391" s="7">
        <v>1</v>
      </c>
      <c r="I391" s="7">
        <v>1</v>
      </c>
      <c r="J391" s="9" t="s">
        <v>35</v>
      </c>
      <c r="K391" s="7">
        <v>1</v>
      </c>
      <c r="L391" s="7" t="s">
        <v>52</v>
      </c>
      <c r="M391" s="7">
        <f t="shared" si="30"/>
        <v>1</v>
      </c>
      <c r="N391" s="9" t="s">
        <v>36</v>
      </c>
      <c r="O391" s="7">
        <v>0</v>
      </c>
      <c r="P391" s="9" t="s">
        <v>63</v>
      </c>
      <c r="Q391" s="7" t="s">
        <v>38</v>
      </c>
      <c r="R391" s="7" t="s">
        <v>38</v>
      </c>
      <c r="S391" s="7"/>
      <c r="T391" s="7"/>
      <c r="U391" s="7"/>
      <c r="V391" s="7"/>
      <c r="W391" s="7"/>
      <c r="X391" s="7">
        <v>3</v>
      </c>
      <c r="Y391" s="7"/>
      <c r="Z391" s="7"/>
      <c r="AA391" s="7"/>
      <c r="AB391" s="7">
        <f>(U391+X391+Z391)/3</f>
        <v>1</v>
      </c>
      <c r="AC391" s="7">
        <f t="shared" si="31"/>
        <v>1</v>
      </c>
      <c r="AD391" s="7"/>
      <c r="AE391" s="7">
        <v>1</v>
      </c>
      <c r="AF391" s="7"/>
      <c r="AG391" s="7"/>
      <c r="AH391" s="7" t="s">
        <v>38</v>
      </c>
      <c r="AI391" s="7"/>
      <c r="AJ391" s="7"/>
      <c r="AK391" s="7"/>
      <c r="AL391" s="9"/>
      <c r="AM391" s="7" t="s">
        <v>71</v>
      </c>
      <c r="AN391" s="7" t="s">
        <v>71</v>
      </c>
      <c r="AO391" s="7"/>
    </row>
    <row r="392" spans="1:41" s="11" customFormat="1" x14ac:dyDescent="0.25">
      <c r="A392" s="2">
        <v>391</v>
      </c>
      <c r="B392" s="7" t="s">
        <v>379</v>
      </c>
      <c r="C392" s="7" t="s">
        <v>50</v>
      </c>
      <c r="D392" s="7">
        <v>34</v>
      </c>
      <c r="E392" s="7">
        <v>34</v>
      </c>
      <c r="F392" s="8">
        <v>1</v>
      </c>
      <c r="G392" s="8">
        <v>1</v>
      </c>
      <c r="H392" s="7">
        <v>1</v>
      </c>
      <c r="I392" s="7">
        <v>1</v>
      </c>
      <c r="J392" s="9" t="s">
        <v>70</v>
      </c>
      <c r="K392" s="7">
        <v>1</v>
      </c>
      <c r="L392" s="7" t="s">
        <v>52</v>
      </c>
      <c r="M392" s="7">
        <f t="shared" si="30"/>
        <v>1</v>
      </c>
      <c r="N392" s="9" t="s">
        <v>36</v>
      </c>
      <c r="O392" s="7">
        <v>0</v>
      </c>
      <c r="P392" s="9" t="s">
        <v>63</v>
      </c>
      <c r="Q392" s="7" t="s">
        <v>38</v>
      </c>
      <c r="R392" s="7" t="s">
        <v>52</v>
      </c>
      <c r="S392" s="7"/>
      <c r="T392" s="7"/>
      <c r="U392" s="7"/>
      <c r="V392" s="7"/>
      <c r="W392" s="7"/>
      <c r="X392" s="7"/>
      <c r="Y392" s="7">
        <v>95</v>
      </c>
      <c r="Z392" s="7">
        <v>95</v>
      </c>
      <c r="AA392" s="7" t="s">
        <v>76</v>
      </c>
      <c r="AB392" s="7">
        <f>(U392+X392+Z392)/3</f>
        <v>31.666666666666668</v>
      </c>
      <c r="AC392" s="7">
        <f t="shared" si="31"/>
        <v>31.666666666666668</v>
      </c>
      <c r="AD392" s="7"/>
      <c r="AE392" s="7"/>
      <c r="AF392" s="7"/>
      <c r="AG392" s="7"/>
      <c r="AH392" s="7"/>
      <c r="AI392" s="7" t="s">
        <v>474</v>
      </c>
      <c r="AJ392" s="7"/>
      <c r="AK392" s="7"/>
      <c r="AL392" s="9"/>
      <c r="AM392" s="7" t="s">
        <v>71</v>
      </c>
      <c r="AN392" s="7" t="s">
        <v>71</v>
      </c>
      <c r="AO392" s="7"/>
    </row>
    <row r="393" spans="1:41" s="11" customFormat="1" ht="24" x14ac:dyDescent="0.25">
      <c r="A393" s="2">
        <v>392</v>
      </c>
      <c r="B393" s="7" t="s">
        <v>379</v>
      </c>
      <c r="C393" s="7" t="s">
        <v>78</v>
      </c>
      <c r="D393" s="7" t="s">
        <v>394</v>
      </c>
      <c r="E393" s="7">
        <v>12</v>
      </c>
      <c r="F393" s="8">
        <v>1</v>
      </c>
      <c r="G393" s="8">
        <v>2</v>
      </c>
      <c r="H393" s="7" t="s">
        <v>87</v>
      </c>
      <c r="I393" s="7">
        <v>2</v>
      </c>
      <c r="J393" s="9" t="s">
        <v>35</v>
      </c>
      <c r="K393" s="7">
        <v>1</v>
      </c>
      <c r="L393" s="7" t="s">
        <v>52</v>
      </c>
      <c r="M393" s="7">
        <f t="shared" si="30"/>
        <v>1</v>
      </c>
      <c r="N393" s="9" t="s">
        <v>34</v>
      </c>
      <c r="O393" s="7">
        <v>1</v>
      </c>
      <c r="P393" s="9" t="s">
        <v>63</v>
      </c>
      <c r="Q393" s="7" t="s">
        <v>38</v>
      </c>
      <c r="R393" s="7" t="s">
        <v>38</v>
      </c>
      <c r="S393" s="7"/>
      <c r="T393" s="7" t="s">
        <v>243</v>
      </c>
      <c r="U393" s="7">
        <v>10</v>
      </c>
      <c r="V393" s="7">
        <v>170</v>
      </c>
      <c r="W393" s="7" t="s">
        <v>328</v>
      </c>
      <c r="X393" s="7"/>
      <c r="Y393" s="7"/>
      <c r="Z393" s="7"/>
      <c r="AA393" s="7"/>
      <c r="AB393" s="7">
        <f>(U393+X393+Z393)/3</f>
        <v>3.3333333333333335</v>
      </c>
      <c r="AC393" s="7">
        <f t="shared" si="31"/>
        <v>3.3333333333333335</v>
      </c>
      <c r="AD393" s="7"/>
      <c r="AE393" s="7"/>
      <c r="AF393" s="7"/>
      <c r="AG393" s="7"/>
      <c r="AH393" s="7"/>
      <c r="AI393" s="7"/>
      <c r="AJ393" s="7"/>
      <c r="AK393" s="7"/>
      <c r="AL393" s="9"/>
      <c r="AM393" s="7" t="s">
        <v>137</v>
      </c>
      <c r="AN393" s="7" t="s">
        <v>2848</v>
      </c>
      <c r="AO393" s="7"/>
    </row>
    <row r="394" spans="1:41" s="11" customFormat="1" x14ac:dyDescent="0.25">
      <c r="A394" s="2">
        <v>393</v>
      </c>
      <c r="B394" s="7" t="s">
        <v>379</v>
      </c>
      <c r="C394" s="7" t="s">
        <v>50</v>
      </c>
      <c r="D394" s="7">
        <v>9</v>
      </c>
      <c r="E394" s="7">
        <v>9</v>
      </c>
      <c r="F394" s="8">
        <v>1</v>
      </c>
      <c r="G394" s="8">
        <v>1</v>
      </c>
      <c r="H394" s="7">
        <v>1</v>
      </c>
      <c r="I394" s="7">
        <v>1</v>
      </c>
      <c r="J394" s="9" t="s">
        <v>35</v>
      </c>
      <c r="K394" s="7">
        <v>1</v>
      </c>
      <c r="L394" s="7" t="s">
        <v>52</v>
      </c>
      <c r="M394" s="7">
        <f t="shared" si="30"/>
        <v>1</v>
      </c>
      <c r="N394" s="9" t="s">
        <v>36</v>
      </c>
      <c r="O394" s="7">
        <v>0</v>
      </c>
      <c r="P394" s="9" t="s">
        <v>63</v>
      </c>
      <c r="Q394" s="7" t="s">
        <v>38</v>
      </c>
      <c r="R394" s="7" t="s">
        <v>38</v>
      </c>
      <c r="S394" s="10" t="s">
        <v>1492</v>
      </c>
      <c r="T394" s="7"/>
      <c r="U394" s="7"/>
      <c r="V394" s="7"/>
      <c r="W394" s="7"/>
      <c r="X394" s="7"/>
      <c r="Y394" s="7">
        <v>5</v>
      </c>
      <c r="Z394" s="7">
        <v>5</v>
      </c>
      <c r="AA394" s="7">
        <v>90</v>
      </c>
      <c r="AB394" s="7">
        <f>(U394+X394+Z394)/3</f>
        <v>1.6666666666666667</v>
      </c>
      <c r="AC394" s="7">
        <f t="shared" si="31"/>
        <v>1.6666666666666667</v>
      </c>
      <c r="AD394" s="7"/>
      <c r="AE394" s="7"/>
      <c r="AF394" s="7"/>
      <c r="AG394" s="7"/>
      <c r="AH394" s="7"/>
      <c r="AI394" s="7"/>
      <c r="AJ394" s="7"/>
      <c r="AK394" s="7"/>
      <c r="AL394" s="9"/>
      <c r="AM394" s="7" t="s">
        <v>71</v>
      </c>
      <c r="AN394" s="7" t="s">
        <v>71</v>
      </c>
      <c r="AO394" s="7"/>
    </row>
    <row r="395" spans="1:41" s="11" customFormat="1" x14ac:dyDescent="0.25">
      <c r="A395" s="2">
        <v>394</v>
      </c>
      <c r="B395" s="7" t="s">
        <v>379</v>
      </c>
      <c r="C395" s="7" t="s">
        <v>119</v>
      </c>
      <c r="D395" s="7">
        <v>4</v>
      </c>
      <c r="E395" s="7">
        <v>4</v>
      </c>
      <c r="F395" s="8">
        <v>1</v>
      </c>
      <c r="G395" s="8">
        <v>1</v>
      </c>
      <c r="H395" s="7">
        <v>1</v>
      </c>
      <c r="I395" s="7">
        <v>1</v>
      </c>
      <c r="J395" s="9" t="s">
        <v>35</v>
      </c>
      <c r="K395" s="7">
        <v>2</v>
      </c>
      <c r="L395" s="7" t="s">
        <v>52</v>
      </c>
      <c r="M395" s="7">
        <f t="shared" si="30"/>
        <v>1</v>
      </c>
      <c r="N395" s="9" t="s">
        <v>34</v>
      </c>
      <c r="O395" s="7">
        <v>0</v>
      </c>
      <c r="P395" s="9" t="s">
        <v>63</v>
      </c>
      <c r="Q395" s="7"/>
      <c r="R395" s="7" t="s">
        <v>38</v>
      </c>
      <c r="S395" s="10" t="s">
        <v>1727</v>
      </c>
      <c r="T395" s="7"/>
      <c r="U395" s="7"/>
      <c r="V395" s="7"/>
      <c r="W395" s="7"/>
      <c r="X395" s="7"/>
      <c r="Y395" s="7"/>
      <c r="Z395" s="7"/>
      <c r="AA395" s="7"/>
      <c r="AB395" s="7">
        <v>0.33333333333333298</v>
      </c>
      <c r="AC395" s="7">
        <f t="shared" si="31"/>
        <v>0.33333333333333298</v>
      </c>
      <c r="AD395" s="7">
        <v>1</v>
      </c>
      <c r="AE395" s="7"/>
      <c r="AF395" s="7" t="s">
        <v>40</v>
      </c>
      <c r="AG395" s="7" t="s">
        <v>395</v>
      </c>
      <c r="AH395" s="7"/>
      <c r="AI395" s="7"/>
      <c r="AJ395" s="7"/>
      <c r="AK395" s="7"/>
      <c r="AL395" s="9"/>
      <c r="AM395" s="7" t="s">
        <v>71</v>
      </c>
      <c r="AN395" s="7" t="s">
        <v>71</v>
      </c>
      <c r="AO395" s="7"/>
    </row>
    <row r="396" spans="1:41" s="11" customFormat="1" x14ac:dyDescent="0.25">
      <c r="A396" s="2">
        <v>395</v>
      </c>
      <c r="B396" s="7" t="s">
        <v>379</v>
      </c>
      <c r="C396" s="7" t="s">
        <v>78</v>
      </c>
      <c r="D396" s="7">
        <v>4</v>
      </c>
      <c r="E396" s="7">
        <v>4</v>
      </c>
      <c r="F396" s="8">
        <v>1</v>
      </c>
      <c r="G396" s="8">
        <v>1</v>
      </c>
      <c r="H396" s="7">
        <v>1</v>
      </c>
      <c r="I396" s="7">
        <v>1</v>
      </c>
      <c r="J396" s="9" t="s">
        <v>77</v>
      </c>
      <c r="K396" s="7">
        <v>1</v>
      </c>
      <c r="L396" s="7" t="s">
        <v>38</v>
      </c>
      <c r="M396" s="7">
        <f t="shared" si="30"/>
        <v>0</v>
      </c>
      <c r="N396" s="9" t="s">
        <v>36</v>
      </c>
      <c r="O396" s="7">
        <v>0</v>
      </c>
      <c r="P396" s="9" t="s">
        <v>33</v>
      </c>
      <c r="Q396" s="7" t="s">
        <v>38</v>
      </c>
      <c r="R396" s="7" t="s">
        <v>38</v>
      </c>
      <c r="S396" s="7"/>
      <c r="T396" s="7">
        <v>6</v>
      </c>
      <c r="U396" s="7">
        <v>6</v>
      </c>
      <c r="V396" s="7">
        <v>110</v>
      </c>
      <c r="W396" s="7" t="s">
        <v>88</v>
      </c>
      <c r="X396" s="7"/>
      <c r="Y396" s="7"/>
      <c r="Z396" s="7"/>
      <c r="AA396" s="7"/>
      <c r="AB396" s="7">
        <f t="shared" ref="AB396:AB419" si="32">(U396+X396+Z396)/3</f>
        <v>2</v>
      </c>
      <c r="AC396" s="7">
        <f t="shared" si="31"/>
        <v>0</v>
      </c>
      <c r="AD396" s="7"/>
      <c r="AE396" s="7"/>
      <c r="AF396" s="7"/>
      <c r="AG396" s="7"/>
      <c r="AH396" s="7"/>
      <c r="AI396" s="7"/>
      <c r="AJ396" s="7"/>
      <c r="AK396" s="7"/>
      <c r="AL396" s="9"/>
      <c r="AM396" s="7" t="s">
        <v>42</v>
      </c>
      <c r="AN396" s="7" t="s">
        <v>42</v>
      </c>
      <c r="AO396" s="10" t="s">
        <v>491</v>
      </c>
    </row>
    <row r="397" spans="1:41" s="11" customFormat="1" x14ac:dyDescent="0.25">
      <c r="A397" s="2">
        <v>396</v>
      </c>
      <c r="B397" s="7" t="s">
        <v>379</v>
      </c>
      <c r="C397" s="7" t="s">
        <v>100</v>
      </c>
      <c r="D397" s="7">
        <v>5</v>
      </c>
      <c r="E397" s="7">
        <v>5</v>
      </c>
      <c r="F397" s="8">
        <v>1</v>
      </c>
      <c r="G397" s="8">
        <v>1</v>
      </c>
      <c r="H397" s="7">
        <v>1</v>
      </c>
      <c r="I397" s="7">
        <v>1</v>
      </c>
      <c r="J397" s="9" t="s">
        <v>77</v>
      </c>
      <c r="K397" s="7">
        <v>1</v>
      </c>
      <c r="L397" s="7" t="s">
        <v>38</v>
      </c>
      <c r="M397" s="7">
        <f t="shared" si="30"/>
        <v>0</v>
      </c>
      <c r="N397" s="9" t="s">
        <v>36</v>
      </c>
      <c r="O397" s="7">
        <v>0</v>
      </c>
      <c r="P397" s="9" t="s">
        <v>37</v>
      </c>
      <c r="Q397" s="7" t="s">
        <v>38</v>
      </c>
      <c r="R397" s="7" t="s">
        <v>38</v>
      </c>
      <c r="S397" s="10" t="s">
        <v>1728</v>
      </c>
      <c r="T397" s="7"/>
      <c r="U397" s="7"/>
      <c r="V397" s="7"/>
      <c r="W397" s="7"/>
      <c r="X397" s="7">
        <v>3</v>
      </c>
      <c r="Y397" s="7"/>
      <c r="Z397" s="7"/>
      <c r="AA397" s="7"/>
      <c r="AB397" s="7">
        <f t="shared" si="32"/>
        <v>1</v>
      </c>
      <c r="AC397" s="7">
        <f t="shared" si="31"/>
        <v>0</v>
      </c>
      <c r="AD397" s="7"/>
      <c r="AE397" s="7"/>
      <c r="AF397" s="7"/>
      <c r="AG397" s="7"/>
      <c r="AH397" s="7"/>
      <c r="AI397" s="7"/>
      <c r="AJ397" s="7"/>
      <c r="AK397" s="7"/>
      <c r="AL397" s="9"/>
      <c r="AM397" s="7" t="s">
        <v>71</v>
      </c>
      <c r="AN397" s="7" t="s">
        <v>71</v>
      </c>
      <c r="AO397" s="7"/>
    </row>
    <row r="398" spans="1:41" s="11" customFormat="1" x14ac:dyDescent="0.25">
      <c r="A398" s="2">
        <v>397</v>
      </c>
      <c r="B398" s="7" t="s">
        <v>379</v>
      </c>
      <c r="C398" s="7" t="s">
        <v>78</v>
      </c>
      <c r="D398" s="7">
        <v>1</v>
      </c>
      <c r="E398" s="7">
        <v>1</v>
      </c>
      <c r="F398" s="8">
        <v>1</v>
      </c>
      <c r="G398" s="8">
        <v>1</v>
      </c>
      <c r="H398" s="7">
        <v>1</v>
      </c>
      <c r="I398" s="7">
        <v>1</v>
      </c>
      <c r="J398" s="9" t="s">
        <v>70</v>
      </c>
      <c r="K398" s="7">
        <v>1</v>
      </c>
      <c r="L398" s="7" t="s">
        <v>52</v>
      </c>
      <c r="M398" s="7">
        <f t="shared" si="30"/>
        <v>1</v>
      </c>
      <c r="N398" s="9" t="s">
        <v>34</v>
      </c>
      <c r="O398" s="7">
        <v>0</v>
      </c>
      <c r="P398" s="9" t="s">
        <v>63</v>
      </c>
      <c r="Q398" s="7" t="s">
        <v>38</v>
      </c>
      <c r="R398" s="7" t="s">
        <v>38</v>
      </c>
      <c r="S398" s="7"/>
      <c r="T398" s="7" t="s">
        <v>92</v>
      </c>
      <c r="U398" s="7">
        <v>3</v>
      </c>
      <c r="V398" s="7" t="s">
        <v>199</v>
      </c>
      <c r="W398" s="7" t="s">
        <v>254</v>
      </c>
      <c r="X398" s="7"/>
      <c r="Y398" s="7"/>
      <c r="Z398" s="7"/>
      <c r="AA398" s="7"/>
      <c r="AB398" s="7">
        <f t="shared" si="32"/>
        <v>1</v>
      </c>
      <c r="AC398" s="7">
        <f t="shared" si="31"/>
        <v>1</v>
      </c>
      <c r="AD398" s="7"/>
      <c r="AE398" s="7"/>
      <c r="AF398" s="7"/>
      <c r="AG398" s="7"/>
      <c r="AH398" s="7"/>
      <c r="AI398" s="7"/>
      <c r="AJ398" s="7"/>
      <c r="AK398" s="7"/>
      <c r="AL398" s="9"/>
      <c r="AM398" s="7" t="s">
        <v>71</v>
      </c>
      <c r="AN398" s="7" t="s">
        <v>71</v>
      </c>
      <c r="AO398" s="7"/>
    </row>
    <row r="399" spans="1:41" s="11" customFormat="1" x14ac:dyDescent="0.25">
      <c r="A399" s="2">
        <v>398</v>
      </c>
      <c r="B399" s="7" t="s">
        <v>379</v>
      </c>
      <c r="C399" s="7" t="s">
        <v>89</v>
      </c>
      <c r="D399" s="7" t="s">
        <v>396</v>
      </c>
      <c r="E399" s="7">
        <f>12+6+4</f>
        <v>22</v>
      </c>
      <c r="F399" s="8">
        <v>6</v>
      </c>
      <c r="G399" s="9" t="s">
        <v>397</v>
      </c>
      <c r="H399" s="7" t="s">
        <v>397</v>
      </c>
      <c r="I399" s="7">
        <v>6</v>
      </c>
      <c r="J399" s="9" t="s">
        <v>35</v>
      </c>
      <c r="K399" s="7">
        <v>1</v>
      </c>
      <c r="L399" s="7" t="s">
        <v>52</v>
      </c>
      <c r="M399" s="7">
        <f t="shared" si="30"/>
        <v>6</v>
      </c>
      <c r="N399" s="9" t="s">
        <v>36</v>
      </c>
      <c r="O399" s="7">
        <v>0</v>
      </c>
      <c r="P399" s="9" t="s">
        <v>63</v>
      </c>
      <c r="Q399" s="7" t="s">
        <v>38</v>
      </c>
      <c r="R399" s="7" t="s">
        <v>38</v>
      </c>
      <c r="S399" s="10" t="s">
        <v>1729</v>
      </c>
      <c r="T399" s="7"/>
      <c r="U399" s="7"/>
      <c r="V399" s="7"/>
      <c r="W399" s="7"/>
      <c r="X399" s="7">
        <v>3</v>
      </c>
      <c r="Y399" s="7"/>
      <c r="Z399" s="7"/>
      <c r="AA399" s="7"/>
      <c r="AB399" s="7">
        <f t="shared" si="32"/>
        <v>1</v>
      </c>
      <c r="AC399" s="7">
        <f t="shared" si="31"/>
        <v>1</v>
      </c>
      <c r="AD399" s="7"/>
      <c r="AE399" s="7"/>
      <c r="AF399" s="7"/>
      <c r="AG399" s="7"/>
      <c r="AH399" s="7"/>
      <c r="AI399" s="7"/>
      <c r="AJ399" s="7"/>
      <c r="AK399" s="7"/>
      <c r="AL399" s="9"/>
      <c r="AM399" s="7" t="s">
        <v>71</v>
      </c>
      <c r="AN399" s="7" t="s">
        <v>71</v>
      </c>
      <c r="AO399" s="12"/>
    </row>
    <row r="400" spans="1:41" s="11" customFormat="1" x14ac:dyDescent="0.25">
      <c r="A400" s="2">
        <v>399</v>
      </c>
      <c r="B400" s="7" t="s">
        <v>379</v>
      </c>
      <c r="C400" s="7" t="s">
        <v>100</v>
      </c>
      <c r="D400" s="7">
        <v>34</v>
      </c>
      <c r="E400" s="7">
        <v>34</v>
      </c>
      <c r="F400" s="8">
        <v>1</v>
      </c>
      <c r="G400" s="8">
        <v>1</v>
      </c>
      <c r="H400" s="7">
        <v>1</v>
      </c>
      <c r="I400" s="7">
        <v>1</v>
      </c>
      <c r="J400" s="9" t="s">
        <v>35</v>
      </c>
      <c r="K400" s="7">
        <v>2</v>
      </c>
      <c r="L400" s="7" t="s">
        <v>52</v>
      </c>
      <c r="M400" s="7">
        <f t="shared" si="30"/>
        <v>1</v>
      </c>
      <c r="N400" s="9" t="s">
        <v>36</v>
      </c>
      <c r="O400" s="7">
        <v>1</v>
      </c>
      <c r="P400" s="9" t="s">
        <v>63</v>
      </c>
      <c r="Q400" s="7" t="s">
        <v>38</v>
      </c>
      <c r="R400" s="7" t="s">
        <v>38</v>
      </c>
      <c r="S400" s="7" t="s">
        <v>398</v>
      </c>
      <c r="T400" s="7"/>
      <c r="U400" s="7"/>
      <c r="V400" s="7"/>
      <c r="W400" s="7"/>
      <c r="X400" s="7">
        <v>3</v>
      </c>
      <c r="Y400" s="7"/>
      <c r="Z400" s="7"/>
      <c r="AA400" s="7"/>
      <c r="AB400" s="7">
        <f t="shared" si="32"/>
        <v>1</v>
      </c>
      <c r="AC400" s="7">
        <f t="shared" si="31"/>
        <v>1</v>
      </c>
      <c r="AD400" s="7"/>
      <c r="AE400" s="7"/>
      <c r="AF400" s="7"/>
      <c r="AG400" s="7"/>
      <c r="AH400" s="7"/>
      <c r="AI400" s="7"/>
      <c r="AJ400" s="7"/>
      <c r="AK400" s="7"/>
      <c r="AL400" s="9"/>
      <c r="AM400" s="7" t="s">
        <v>71</v>
      </c>
      <c r="AN400" s="7" t="s">
        <v>71</v>
      </c>
      <c r="AO400" s="7"/>
    </row>
    <row r="401" spans="1:41" s="11" customFormat="1" x14ac:dyDescent="0.25">
      <c r="A401" s="2">
        <v>400</v>
      </c>
      <c r="B401" s="7" t="s">
        <v>379</v>
      </c>
      <c r="C401" s="7" t="s">
        <v>89</v>
      </c>
      <c r="D401" s="7" t="s">
        <v>399</v>
      </c>
      <c r="E401" s="7">
        <f>14+5+8+9+3</f>
        <v>39</v>
      </c>
      <c r="F401" s="8">
        <v>7</v>
      </c>
      <c r="G401" s="8">
        <v>11</v>
      </c>
      <c r="H401" s="7" t="s">
        <v>400</v>
      </c>
      <c r="I401" s="7">
        <v>11</v>
      </c>
      <c r="J401" s="9" t="s">
        <v>35</v>
      </c>
      <c r="K401" s="7">
        <v>2</v>
      </c>
      <c r="L401" s="7" t="s">
        <v>52</v>
      </c>
      <c r="M401" s="7">
        <f t="shared" si="30"/>
        <v>7</v>
      </c>
      <c r="N401" s="9" t="s">
        <v>34</v>
      </c>
      <c r="O401" s="7">
        <v>0</v>
      </c>
      <c r="P401" s="9" t="s">
        <v>63</v>
      </c>
      <c r="Q401" s="7" t="s">
        <v>38</v>
      </c>
      <c r="R401" s="7" t="s">
        <v>38</v>
      </c>
      <c r="S401" s="10" t="s">
        <v>1730</v>
      </c>
      <c r="T401" s="7"/>
      <c r="U401" s="7"/>
      <c r="V401" s="7"/>
      <c r="W401" s="7"/>
      <c r="X401" s="7">
        <v>3</v>
      </c>
      <c r="Y401" s="7"/>
      <c r="Z401" s="7"/>
      <c r="AA401" s="7"/>
      <c r="AB401" s="7">
        <f t="shared" si="32"/>
        <v>1</v>
      </c>
      <c r="AC401" s="7">
        <f t="shared" si="31"/>
        <v>1</v>
      </c>
      <c r="AD401" s="7"/>
      <c r="AE401" s="7"/>
      <c r="AF401" s="7"/>
      <c r="AG401" s="7"/>
      <c r="AH401" s="7"/>
      <c r="AI401" s="7"/>
      <c r="AJ401" s="7"/>
      <c r="AK401" s="7"/>
      <c r="AL401" s="9"/>
      <c r="AM401" s="7" t="s">
        <v>71</v>
      </c>
      <c r="AN401" s="7" t="s">
        <v>71</v>
      </c>
      <c r="AO401" s="12"/>
    </row>
    <row r="402" spans="1:41" s="11" customFormat="1" x14ac:dyDescent="0.25">
      <c r="A402" s="2">
        <v>401</v>
      </c>
      <c r="B402" s="7" t="s">
        <v>379</v>
      </c>
      <c r="C402" s="7" t="s">
        <v>89</v>
      </c>
      <c r="D402" s="7" t="s">
        <v>263</v>
      </c>
      <c r="E402" s="7">
        <v>8</v>
      </c>
      <c r="F402" s="8">
        <v>3</v>
      </c>
      <c r="G402" s="8">
        <v>3</v>
      </c>
      <c r="H402" s="7" t="s">
        <v>97</v>
      </c>
      <c r="I402" s="7">
        <v>3</v>
      </c>
      <c r="J402" s="9" t="s">
        <v>70</v>
      </c>
      <c r="K402" s="7">
        <v>1</v>
      </c>
      <c r="L402" s="7" t="s">
        <v>52</v>
      </c>
      <c r="M402" s="7">
        <f t="shared" si="30"/>
        <v>3</v>
      </c>
      <c r="N402" s="9" t="s">
        <v>34</v>
      </c>
      <c r="O402" s="7">
        <v>0</v>
      </c>
      <c r="P402" s="9" t="s">
        <v>63</v>
      </c>
      <c r="Q402" s="7" t="s">
        <v>38</v>
      </c>
      <c r="R402" s="7" t="s">
        <v>38</v>
      </c>
      <c r="S402" s="7"/>
      <c r="T402" s="7"/>
      <c r="U402" s="7"/>
      <c r="V402" s="7"/>
      <c r="W402" s="7"/>
      <c r="X402" s="7">
        <v>3</v>
      </c>
      <c r="Y402" s="7"/>
      <c r="Z402" s="7"/>
      <c r="AA402" s="7"/>
      <c r="AB402" s="7">
        <f t="shared" si="32"/>
        <v>1</v>
      </c>
      <c r="AC402" s="7">
        <f t="shared" si="31"/>
        <v>1</v>
      </c>
      <c r="AD402" s="7"/>
      <c r="AE402" s="7" t="s">
        <v>55</v>
      </c>
      <c r="AF402" s="7"/>
      <c r="AG402" s="7" t="s">
        <v>153</v>
      </c>
      <c r="AH402" s="7"/>
      <c r="AI402" s="7"/>
      <c r="AJ402" s="7"/>
      <c r="AK402" s="7"/>
      <c r="AL402" s="9"/>
      <c r="AM402" s="7" t="s">
        <v>71</v>
      </c>
      <c r="AN402" s="7" t="s">
        <v>71</v>
      </c>
      <c r="AO402" s="12"/>
    </row>
    <row r="403" spans="1:41" s="11" customFormat="1" x14ac:dyDescent="0.25">
      <c r="A403" s="2">
        <v>402</v>
      </c>
      <c r="B403" s="7" t="s">
        <v>379</v>
      </c>
      <c r="C403" s="7" t="s">
        <v>100</v>
      </c>
      <c r="D403" s="7">
        <v>2</v>
      </c>
      <c r="E403" s="7">
        <v>2</v>
      </c>
      <c r="F403" s="8">
        <v>1</v>
      </c>
      <c r="G403" s="8">
        <v>1</v>
      </c>
      <c r="H403" s="7">
        <v>1</v>
      </c>
      <c r="I403" s="7">
        <v>1</v>
      </c>
      <c r="J403" s="9" t="s">
        <v>70</v>
      </c>
      <c r="K403" s="7">
        <v>1</v>
      </c>
      <c r="L403" s="7" t="s">
        <v>52</v>
      </c>
      <c r="M403" s="7">
        <f t="shared" si="30"/>
        <v>1</v>
      </c>
      <c r="N403" s="9" t="s">
        <v>82</v>
      </c>
      <c r="O403" s="7">
        <v>0</v>
      </c>
      <c r="P403" s="9" t="s">
        <v>36</v>
      </c>
      <c r="Q403" s="7" t="s">
        <v>38</v>
      </c>
      <c r="R403" s="7" t="s">
        <v>38</v>
      </c>
      <c r="S403" s="7"/>
      <c r="T403" s="7"/>
      <c r="U403" s="7"/>
      <c r="V403" s="7"/>
      <c r="W403" s="7"/>
      <c r="X403" s="7">
        <v>3</v>
      </c>
      <c r="Y403" s="7"/>
      <c r="Z403" s="7"/>
      <c r="AA403" s="7"/>
      <c r="AB403" s="7">
        <f t="shared" si="32"/>
        <v>1</v>
      </c>
      <c r="AC403" s="7">
        <f t="shared" si="31"/>
        <v>1</v>
      </c>
      <c r="AD403" s="7"/>
      <c r="AE403" s="7"/>
      <c r="AF403" s="7"/>
      <c r="AG403" s="7"/>
      <c r="AH403" s="7"/>
      <c r="AI403" s="7"/>
      <c r="AJ403" s="7"/>
      <c r="AK403" s="7"/>
      <c r="AL403" s="9"/>
      <c r="AM403" s="7" t="s">
        <v>71</v>
      </c>
      <c r="AN403" s="7" t="s">
        <v>71</v>
      </c>
      <c r="AO403" s="12"/>
    </row>
    <row r="404" spans="1:41" s="11" customFormat="1" x14ac:dyDescent="0.25">
      <c r="A404" s="2">
        <v>403</v>
      </c>
      <c r="B404" s="7" t="s">
        <v>379</v>
      </c>
      <c r="C404" s="7" t="s">
        <v>100</v>
      </c>
      <c r="D404" s="7">
        <v>6</v>
      </c>
      <c r="E404" s="7">
        <v>6</v>
      </c>
      <c r="F404" s="8">
        <v>1</v>
      </c>
      <c r="G404" s="8">
        <v>1</v>
      </c>
      <c r="H404" s="7">
        <v>1</v>
      </c>
      <c r="I404" s="7">
        <v>1</v>
      </c>
      <c r="J404" s="9" t="s">
        <v>70</v>
      </c>
      <c r="K404" s="7">
        <v>1</v>
      </c>
      <c r="L404" s="7" t="s">
        <v>52</v>
      </c>
      <c r="M404" s="7">
        <f t="shared" si="30"/>
        <v>1</v>
      </c>
      <c r="N404" s="9" t="s">
        <v>34</v>
      </c>
      <c r="O404" s="7">
        <v>0</v>
      </c>
      <c r="P404" s="9" t="s">
        <v>63</v>
      </c>
      <c r="Q404" s="7" t="s">
        <v>52</v>
      </c>
      <c r="R404" s="7" t="s">
        <v>38</v>
      </c>
      <c r="S404" s="10" t="s">
        <v>1591</v>
      </c>
      <c r="T404" s="7"/>
      <c r="U404" s="7"/>
      <c r="V404" s="7"/>
      <c r="W404" s="7"/>
      <c r="X404" s="7">
        <v>3</v>
      </c>
      <c r="Y404" s="7"/>
      <c r="Z404" s="7"/>
      <c r="AA404" s="7"/>
      <c r="AB404" s="7">
        <f t="shared" si="32"/>
        <v>1</v>
      </c>
      <c r="AC404" s="7">
        <f t="shared" si="31"/>
        <v>1</v>
      </c>
      <c r="AD404" s="7"/>
      <c r="AE404" s="7"/>
      <c r="AF404" s="7"/>
      <c r="AG404" s="7"/>
      <c r="AH404" s="7"/>
      <c r="AI404" s="7"/>
      <c r="AJ404" s="7"/>
      <c r="AK404" s="7"/>
      <c r="AL404" s="9"/>
      <c r="AM404" s="7" t="s">
        <v>71</v>
      </c>
      <c r="AN404" s="7" t="s">
        <v>71</v>
      </c>
      <c r="AO404" s="12"/>
    </row>
    <row r="405" spans="1:41" s="11" customFormat="1" x14ac:dyDescent="0.25">
      <c r="A405" s="2">
        <v>404</v>
      </c>
      <c r="B405" s="7" t="s">
        <v>379</v>
      </c>
      <c r="C405" s="7" t="s">
        <v>100</v>
      </c>
      <c r="D405" s="7">
        <v>2</v>
      </c>
      <c r="E405" s="7">
        <v>2</v>
      </c>
      <c r="F405" s="8">
        <v>1</v>
      </c>
      <c r="G405" s="8">
        <v>1</v>
      </c>
      <c r="H405" s="7">
        <v>1</v>
      </c>
      <c r="I405" s="7">
        <v>1</v>
      </c>
      <c r="J405" s="9" t="s">
        <v>35</v>
      </c>
      <c r="K405" s="7">
        <v>2</v>
      </c>
      <c r="L405" s="7" t="s">
        <v>52</v>
      </c>
      <c r="M405" s="7">
        <f t="shared" si="30"/>
        <v>1</v>
      </c>
      <c r="N405" s="9" t="s">
        <v>34</v>
      </c>
      <c r="O405" s="7">
        <v>0</v>
      </c>
      <c r="P405" s="9" t="s">
        <v>63</v>
      </c>
      <c r="Q405" s="7" t="s">
        <v>52</v>
      </c>
      <c r="R405" s="7" t="s">
        <v>38</v>
      </c>
      <c r="S405" s="7"/>
      <c r="T405" s="7"/>
      <c r="U405" s="7"/>
      <c r="V405" s="7"/>
      <c r="W405" s="7"/>
      <c r="X405" s="7">
        <v>3</v>
      </c>
      <c r="Y405" s="7"/>
      <c r="Z405" s="7"/>
      <c r="AA405" s="7"/>
      <c r="AB405" s="7">
        <f t="shared" si="32"/>
        <v>1</v>
      </c>
      <c r="AC405" s="7">
        <f t="shared" si="31"/>
        <v>1</v>
      </c>
      <c r="AD405" s="7"/>
      <c r="AE405" s="7"/>
      <c r="AF405" s="7"/>
      <c r="AG405" s="7"/>
      <c r="AH405" s="7"/>
      <c r="AI405" s="7"/>
      <c r="AJ405" s="7"/>
      <c r="AK405" s="7"/>
      <c r="AL405" s="9"/>
      <c r="AM405" s="7" t="s">
        <v>71</v>
      </c>
      <c r="AN405" s="7" t="s">
        <v>71</v>
      </c>
      <c r="AO405" s="12"/>
    </row>
    <row r="406" spans="1:41" s="11" customFormat="1" x14ac:dyDescent="0.25">
      <c r="A406" s="2">
        <v>405</v>
      </c>
      <c r="B406" s="7" t="s">
        <v>379</v>
      </c>
      <c r="C406" s="7" t="s">
        <v>50</v>
      </c>
      <c r="D406" s="7">
        <v>2</v>
      </c>
      <c r="E406" s="7">
        <v>2</v>
      </c>
      <c r="F406" s="8">
        <v>1</v>
      </c>
      <c r="G406" s="8">
        <v>1</v>
      </c>
      <c r="H406" s="7">
        <v>1</v>
      </c>
      <c r="I406" s="7">
        <v>1</v>
      </c>
      <c r="J406" s="9" t="s">
        <v>35</v>
      </c>
      <c r="K406" s="7">
        <v>2</v>
      </c>
      <c r="L406" s="7" t="s">
        <v>52</v>
      </c>
      <c r="M406" s="7">
        <f t="shared" si="30"/>
        <v>1</v>
      </c>
      <c r="N406" s="9" t="s">
        <v>36</v>
      </c>
      <c r="O406" s="7">
        <v>0</v>
      </c>
      <c r="P406" s="9" t="s">
        <v>63</v>
      </c>
      <c r="Q406" s="7" t="s">
        <v>38</v>
      </c>
      <c r="R406" s="7"/>
      <c r="S406" s="7"/>
      <c r="T406" s="7"/>
      <c r="U406" s="7"/>
      <c r="V406" s="7"/>
      <c r="W406" s="7"/>
      <c r="X406" s="7"/>
      <c r="Y406" s="7" t="s">
        <v>92</v>
      </c>
      <c r="Z406" s="7">
        <v>3</v>
      </c>
      <c r="AA406" s="7" t="s">
        <v>76</v>
      </c>
      <c r="AB406" s="7">
        <f t="shared" si="32"/>
        <v>1</v>
      </c>
      <c r="AC406" s="7">
        <f t="shared" si="31"/>
        <v>1</v>
      </c>
      <c r="AD406" s="7"/>
      <c r="AE406" s="7"/>
      <c r="AF406" s="7"/>
      <c r="AG406" s="7"/>
      <c r="AH406" s="7"/>
      <c r="AI406" s="7"/>
      <c r="AJ406" s="7"/>
      <c r="AK406" s="7"/>
      <c r="AL406" s="9"/>
      <c r="AM406" s="7" t="s">
        <v>71</v>
      </c>
      <c r="AN406" s="7" t="s">
        <v>71</v>
      </c>
      <c r="AO406" s="12"/>
    </row>
    <row r="407" spans="1:41" s="11" customFormat="1" x14ac:dyDescent="0.25">
      <c r="A407" s="2">
        <v>406</v>
      </c>
      <c r="B407" s="7" t="s">
        <v>379</v>
      </c>
      <c r="C407" s="7" t="s">
        <v>50</v>
      </c>
      <c r="D407" s="7">
        <v>15</v>
      </c>
      <c r="E407" s="7">
        <v>15</v>
      </c>
      <c r="F407" s="8">
        <v>1</v>
      </c>
      <c r="G407" s="8">
        <v>1</v>
      </c>
      <c r="H407" s="7">
        <v>1</v>
      </c>
      <c r="I407" s="7">
        <v>1</v>
      </c>
      <c r="J407" s="9" t="s">
        <v>176</v>
      </c>
      <c r="K407" s="7">
        <v>8</v>
      </c>
      <c r="L407" s="7" t="s">
        <v>52</v>
      </c>
      <c r="M407" s="7">
        <f t="shared" si="30"/>
        <v>1</v>
      </c>
      <c r="N407" s="9" t="s">
        <v>109</v>
      </c>
      <c r="O407" s="7">
        <v>0</v>
      </c>
      <c r="P407" s="9" t="s">
        <v>63</v>
      </c>
      <c r="Q407" s="7" t="s">
        <v>38</v>
      </c>
      <c r="R407" s="7" t="s">
        <v>52</v>
      </c>
      <c r="S407" s="10" t="s">
        <v>1731</v>
      </c>
      <c r="T407" s="7"/>
      <c r="U407" s="7"/>
      <c r="V407" s="7"/>
      <c r="W407" s="7"/>
      <c r="X407" s="7"/>
      <c r="Y407" s="7" t="s">
        <v>92</v>
      </c>
      <c r="Z407" s="7">
        <v>3</v>
      </c>
      <c r="AA407" s="7" t="s">
        <v>76</v>
      </c>
      <c r="AB407" s="7">
        <f t="shared" si="32"/>
        <v>1</v>
      </c>
      <c r="AC407" s="7">
        <f t="shared" si="31"/>
        <v>1</v>
      </c>
      <c r="AD407" s="7"/>
      <c r="AE407" s="7"/>
      <c r="AF407" s="7"/>
      <c r="AG407" s="7"/>
      <c r="AH407" s="7"/>
      <c r="AI407" s="7"/>
      <c r="AJ407" s="7"/>
      <c r="AK407" s="7"/>
      <c r="AL407" s="9"/>
      <c r="AM407" s="7" t="s">
        <v>71</v>
      </c>
      <c r="AN407" s="7" t="s">
        <v>71</v>
      </c>
      <c r="AO407" s="12"/>
    </row>
    <row r="408" spans="1:41" s="11" customFormat="1" x14ac:dyDescent="0.25">
      <c r="A408" s="2">
        <v>407</v>
      </c>
      <c r="B408" s="7" t="s">
        <v>379</v>
      </c>
      <c r="C408" s="7" t="s">
        <v>104</v>
      </c>
      <c r="D408" s="7">
        <v>60</v>
      </c>
      <c r="E408" s="7">
        <v>60</v>
      </c>
      <c r="F408" s="8">
        <v>1</v>
      </c>
      <c r="G408" s="8">
        <v>1</v>
      </c>
      <c r="H408" s="7">
        <v>1</v>
      </c>
      <c r="I408" s="7">
        <v>1</v>
      </c>
      <c r="J408" s="9" t="s">
        <v>219</v>
      </c>
      <c r="K408" s="7">
        <v>2</v>
      </c>
      <c r="L408" s="7" t="s">
        <v>52</v>
      </c>
      <c r="M408" s="7">
        <f t="shared" si="30"/>
        <v>1</v>
      </c>
      <c r="N408" s="9" t="s">
        <v>82</v>
      </c>
      <c r="O408" s="7">
        <v>0</v>
      </c>
      <c r="P408" s="9" t="s">
        <v>36</v>
      </c>
      <c r="Q408" s="7" t="s">
        <v>38</v>
      </c>
      <c r="R408" s="7" t="s">
        <v>38</v>
      </c>
      <c r="S408" s="10" t="s">
        <v>1732</v>
      </c>
      <c r="T408" s="7"/>
      <c r="U408" s="7"/>
      <c r="V408" s="7"/>
      <c r="W408" s="7"/>
      <c r="X408" s="7">
        <v>3</v>
      </c>
      <c r="Y408" s="7"/>
      <c r="Z408" s="7"/>
      <c r="AA408" s="7"/>
      <c r="AB408" s="7">
        <f t="shared" si="32"/>
        <v>1</v>
      </c>
      <c r="AC408" s="7">
        <f t="shared" si="31"/>
        <v>1</v>
      </c>
      <c r="AD408" s="7"/>
      <c r="AE408" s="7">
        <v>1</v>
      </c>
      <c r="AF408" s="7" t="s">
        <v>155</v>
      </c>
      <c r="AG408" s="7" t="s">
        <v>401</v>
      </c>
      <c r="AH408" s="7"/>
      <c r="AI408" s="7"/>
      <c r="AJ408" s="7"/>
      <c r="AK408" s="7"/>
      <c r="AL408" s="9"/>
      <c r="AM408" s="7" t="s">
        <v>402</v>
      </c>
      <c r="AN408" s="7" t="s">
        <v>662</v>
      </c>
      <c r="AO408" s="7"/>
    </row>
    <row r="409" spans="1:41" s="11" customFormat="1" x14ac:dyDescent="0.25">
      <c r="A409" s="2">
        <v>408</v>
      </c>
      <c r="B409" s="7" t="s">
        <v>379</v>
      </c>
      <c r="C409" s="7" t="s">
        <v>89</v>
      </c>
      <c r="D409" s="7" t="s">
        <v>159</v>
      </c>
      <c r="E409" s="7">
        <v>6</v>
      </c>
      <c r="F409" s="8">
        <v>2</v>
      </c>
      <c r="G409" s="8">
        <v>2</v>
      </c>
      <c r="H409" s="7" t="s">
        <v>87</v>
      </c>
      <c r="I409" s="7">
        <v>2</v>
      </c>
      <c r="J409" s="9" t="s">
        <v>219</v>
      </c>
      <c r="K409" s="7">
        <v>5</v>
      </c>
      <c r="L409" s="7" t="s">
        <v>52</v>
      </c>
      <c r="M409" s="7">
        <f t="shared" si="30"/>
        <v>2</v>
      </c>
      <c r="N409" s="9" t="s">
        <v>34</v>
      </c>
      <c r="O409" s="7">
        <v>0</v>
      </c>
      <c r="P409" s="9" t="s">
        <v>34</v>
      </c>
      <c r="Q409" s="7" t="s">
        <v>38</v>
      </c>
      <c r="R409" s="7" t="s">
        <v>38</v>
      </c>
      <c r="S409" s="10" t="s">
        <v>1733</v>
      </c>
      <c r="T409" s="7"/>
      <c r="U409" s="7"/>
      <c r="V409" s="7"/>
      <c r="W409" s="7"/>
      <c r="X409" s="7">
        <v>3</v>
      </c>
      <c r="Y409" s="7"/>
      <c r="Z409" s="7"/>
      <c r="AA409" s="7"/>
      <c r="AB409" s="7">
        <f t="shared" si="32"/>
        <v>1</v>
      </c>
      <c r="AC409" s="7">
        <f t="shared" si="31"/>
        <v>1</v>
      </c>
      <c r="AD409" s="7"/>
      <c r="AE409" s="7"/>
      <c r="AF409" s="7"/>
      <c r="AG409" s="7"/>
      <c r="AH409" s="7"/>
      <c r="AI409" s="7"/>
      <c r="AJ409" s="7"/>
      <c r="AK409" s="7"/>
      <c r="AL409" s="9"/>
      <c r="AM409" s="7" t="s">
        <v>71</v>
      </c>
      <c r="AN409" s="7" t="s">
        <v>71</v>
      </c>
      <c r="AO409" s="12"/>
    </row>
    <row r="410" spans="1:41" s="11" customFormat="1" ht="24" x14ac:dyDescent="0.25">
      <c r="A410" s="2">
        <v>409</v>
      </c>
      <c r="B410" s="7" t="s">
        <v>379</v>
      </c>
      <c r="C410" s="7" t="s">
        <v>78</v>
      </c>
      <c r="D410" s="7">
        <v>9</v>
      </c>
      <c r="E410" s="7">
        <v>9</v>
      </c>
      <c r="F410" s="8">
        <v>1</v>
      </c>
      <c r="G410" s="8">
        <v>1</v>
      </c>
      <c r="H410" s="7">
        <v>1</v>
      </c>
      <c r="I410" s="7">
        <v>1</v>
      </c>
      <c r="J410" s="9" t="s">
        <v>219</v>
      </c>
      <c r="K410" s="7">
        <v>2</v>
      </c>
      <c r="L410" s="7" t="s">
        <v>52</v>
      </c>
      <c r="M410" s="7">
        <f t="shared" si="30"/>
        <v>1</v>
      </c>
      <c r="N410" s="9" t="s">
        <v>82</v>
      </c>
      <c r="O410" s="7">
        <v>0</v>
      </c>
      <c r="P410" s="9" t="s">
        <v>36</v>
      </c>
      <c r="Q410" s="7" t="s">
        <v>38</v>
      </c>
      <c r="R410" s="7" t="s">
        <v>38</v>
      </c>
      <c r="S410" s="10" t="s">
        <v>1734</v>
      </c>
      <c r="T410" s="7">
        <v>5</v>
      </c>
      <c r="U410" s="7">
        <v>5</v>
      </c>
      <c r="V410" s="7" t="s">
        <v>403</v>
      </c>
      <c r="W410" s="7" t="s">
        <v>239</v>
      </c>
      <c r="X410" s="7"/>
      <c r="Y410" s="7"/>
      <c r="Z410" s="7"/>
      <c r="AA410" s="7"/>
      <c r="AB410" s="7">
        <f t="shared" si="32"/>
        <v>1.6666666666666667</v>
      </c>
      <c r="AC410" s="7">
        <f t="shared" si="31"/>
        <v>1.6666666666666667</v>
      </c>
      <c r="AD410" s="7"/>
      <c r="AE410" s="7"/>
      <c r="AF410" s="7"/>
      <c r="AG410" s="7"/>
      <c r="AH410" s="7"/>
      <c r="AI410" s="7"/>
      <c r="AJ410" s="7"/>
      <c r="AK410" s="7"/>
      <c r="AL410" s="9"/>
      <c r="AM410" s="7" t="s">
        <v>362</v>
      </c>
      <c r="AN410" s="7" t="s">
        <v>662</v>
      </c>
      <c r="AO410" s="7"/>
    </row>
    <row r="411" spans="1:41" s="11" customFormat="1" ht="24" x14ac:dyDescent="0.25">
      <c r="A411" s="2">
        <v>410</v>
      </c>
      <c r="B411" s="7" t="s">
        <v>379</v>
      </c>
      <c r="C411" s="7" t="s">
        <v>309</v>
      </c>
      <c r="D411" s="7" t="s">
        <v>404</v>
      </c>
      <c r="E411" s="7">
        <f>26+7</f>
        <v>33</v>
      </c>
      <c r="F411" s="8">
        <v>1</v>
      </c>
      <c r="G411" s="8">
        <v>4</v>
      </c>
      <c r="H411" s="7" t="s">
        <v>91</v>
      </c>
      <c r="I411" s="7">
        <v>4</v>
      </c>
      <c r="J411" s="9" t="s">
        <v>219</v>
      </c>
      <c r="K411" s="7">
        <v>1</v>
      </c>
      <c r="L411" s="7" t="s">
        <v>52</v>
      </c>
      <c r="M411" s="7">
        <f t="shared" si="30"/>
        <v>1</v>
      </c>
      <c r="N411" s="9" t="s">
        <v>82</v>
      </c>
      <c r="O411" s="7">
        <v>0</v>
      </c>
      <c r="P411" s="9" t="s">
        <v>36</v>
      </c>
      <c r="Q411" s="7" t="s">
        <v>38</v>
      </c>
      <c r="R411" s="7" t="s">
        <v>38</v>
      </c>
      <c r="S411" s="10" t="s">
        <v>1735</v>
      </c>
      <c r="T411" s="7"/>
      <c r="U411" s="7"/>
      <c r="V411" s="7"/>
      <c r="W411" s="7"/>
      <c r="X411" s="7">
        <v>3</v>
      </c>
      <c r="Y411" s="7"/>
      <c r="Z411" s="7"/>
      <c r="AA411" s="7"/>
      <c r="AB411" s="7">
        <f t="shared" si="32"/>
        <v>1</v>
      </c>
      <c r="AC411" s="7">
        <f t="shared" si="31"/>
        <v>1</v>
      </c>
      <c r="AD411" s="7"/>
      <c r="AE411" s="7">
        <v>1</v>
      </c>
      <c r="AF411" s="7" t="s">
        <v>155</v>
      </c>
      <c r="AG411" s="7"/>
      <c r="AH411" s="7"/>
      <c r="AI411" s="7"/>
      <c r="AJ411" s="7"/>
      <c r="AK411" s="7"/>
      <c r="AL411" s="9"/>
      <c r="AM411" s="7" t="s">
        <v>71</v>
      </c>
      <c r="AN411" s="7" t="s">
        <v>71</v>
      </c>
      <c r="AO411" s="12"/>
    </row>
    <row r="412" spans="1:41" s="11" customFormat="1" x14ac:dyDescent="0.25">
      <c r="A412" s="2">
        <v>411</v>
      </c>
      <c r="B412" s="7" t="s">
        <v>379</v>
      </c>
      <c r="C412" s="7" t="s">
        <v>89</v>
      </c>
      <c r="D412" s="7" t="s">
        <v>405</v>
      </c>
      <c r="E412" s="7">
        <v>17</v>
      </c>
      <c r="F412" s="8">
        <v>2</v>
      </c>
      <c r="G412" s="8">
        <v>4</v>
      </c>
      <c r="H412" s="7" t="s">
        <v>91</v>
      </c>
      <c r="I412" s="7">
        <v>4</v>
      </c>
      <c r="J412" s="9" t="s">
        <v>219</v>
      </c>
      <c r="K412" s="7">
        <v>1</v>
      </c>
      <c r="L412" s="7" t="s">
        <v>52</v>
      </c>
      <c r="M412" s="7">
        <f t="shared" si="30"/>
        <v>2</v>
      </c>
      <c r="N412" s="9" t="s">
        <v>82</v>
      </c>
      <c r="O412" s="7">
        <v>0</v>
      </c>
      <c r="P412" s="9" t="s">
        <v>36</v>
      </c>
      <c r="Q412" s="7"/>
      <c r="R412" s="7" t="s">
        <v>38</v>
      </c>
      <c r="S412" s="10" t="s">
        <v>1736</v>
      </c>
      <c r="T412" s="7"/>
      <c r="U412" s="7"/>
      <c r="V412" s="7"/>
      <c r="W412" s="7"/>
      <c r="X412" s="7">
        <v>3</v>
      </c>
      <c r="Y412" s="7"/>
      <c r="Z412" s="7"/>
      <c r="AA412" s="7"/>
      <c r="AB412" s="7">
        <f t="shared" si="32"/>
        <v>1</v>
      </c>
      <c r="AC412" s="7">
        <f t="shared" si="31"/>
        <v>1</v>
      </c>
      <c r="AD412" s="7"/>
      <c r="AE412" s="7"/>
      <c r="AF412" s="7"/>
      <c r="AG412" s="7"/>
      <c r="AH412" s="7"/>
      <c r="AI412" s="7"/>
      <c r="AJ412" s="7"/>
      <c r="AK412" s="7"/>
      <c r="AL412" s="9"/>
      <c r="AM412" s="7" t="s">
        <v>71</v>
      </c>
      <c r="AN412" s="7" t="s">
        <v>71</v>
      </c>
      <c r="AO412" s="12"/>
    </row>
    <row r="413" spans="1:41" s="11" customFormat="1" x14ac:dyDescent="0.25">
      <c r="A413" s="2">
        <v>412</v>
      </c>
      <c r="B413" s="7" t="s">
        <v>379</v>
      </c>
      <c r="C413" s="7" t="s">
        <v>89</v>
      </c>
      <c r="D413" s="7" t="s">
        <v>320</v>
      </c>
      <c r="E413" s="7">
        <v>8</v>
      </c>
      <c r="F413" s="8">
        <v>2</v>
      </c>
      <c r="G413" s="8">
        <v>2</v>
      </c>
      <c r="H413" s="7" t="s">
        <v>87</v>
      </c>
      <c r="I413" s="7">
        <v>2</v>
      </c>
      <c r="J413" s="9" t="s">
        <v>219</v>
      </c>
      <c r="K413" s="7">
        <v>1</v>
      </c>
      <c r="L413" s="7" t="s">
        <v>52</v>
      </c>
      <c r="M413" s="7">
        <f t="shared" si="30"/>
        <v>2</v>
      </c>
      <c r="N413" s="9" t="s">
        <v>82</v>
      </c>
      <c r="O413" s="7">
        <v>0</v>
      </c>
      <c r="P413" s="9" t="s">
        <v>36</v>
      </c>
      <c r="Q413" s="7" t="s">
        <v>38</v>
      </c>
      <c r="R413" s="7" t="s">
        <v>38</v>
      </c>
      <c r="S413" s="10" t="s">
        <v>1737</v>
      </c>
      <c r="T413" s="7"/>
      <c r="U413" s="7"/>
      <c r="V413" s="7"/>
      <c r="W413" s="7"/>
      <c r="X413" s="7">
        <v>3</v>
      </c>
      <c r="Y413" s="7"/>
      <c r="Z413" s="7"/>
      <c r="AA413" s="7"/>
      <c r="AB413" s="7">
        <f t="shared" si="32"/>
        <v>1</v>
      </c>
      <c r="AC413" s="7">
        <f t="shared" si="31"/>
        <v>1</v>
      </c>
      <c r="AD413" s="7"/>
      <c r="AE413" s="7"/>
      <c r="AF413" s="7"/>
      <c r="AG413" s="7"/>
      <c r="AH413" s="7"/>
      <c r="AI413" s="7"/>
      <c r="AJ413" s="7"/>
      <c r="AK413" s="7"/>
      <c r="AL413" s="9"/>
      <c r="AM413" s="7" t="s">
        <v>71</v>
      </c>
      <c r="AN413" s="7" t="s">
        <v>71</v>
      </c>
      <c r="AO413" s="12"/>
    </row>
    <row r="414" spans="1:41" s="11" customFormat="1" x14ac:dyDescent="0.25">
      <c r="A414" s="2">
        <v>413</v>
      </c>
      <c r="B414" s="7" t="s">
        <v>379</v>
      </c>
      <c r="C414" s="7" t="s">
        <v>100</v>
      </c>
      <c r="D414" s="7">
        <v>3</v>
      </c>
      <c r="E414" s="7">
        <v>3</v>
      </c>
      <c r="F414" s="8">
        <v>1</v>
      </c>
      <c r="G414" s="8">
        <v>1</v>
      </c>
      <c r="H414" s="7">
        <v>1</v>
      </c>
      <c r="I414" s="7">
        <v>1</v>
      </c>
      <c r="J414" s="9" t="s">
        <v>219</v>
      </c>
      <c r="K414" s="7">
        <v>1</v>
      </c>
      <c r="L414" s="7" t="s">
        <v>52</v>
      </c>
      <c r="M414" s="7">
        <f t="shared" si="30"/>
        <v>1</v>
      </c>
      <c r="N414" s="9" t="s">
        <v>34</v>
      </c>
      <c r="O414" s="7">
        <v>0</v>
      </c>
      <c r="P414" s="9" t="s">
        <v>63</v>
      </c>
      <c r="Q414" s="7" t="s">
        <v>38</v>
      </c>
      <c r="R414" s="7"/>
      <c r="S414" s="10" t="s">
        <v>1738</v>
      </c>
      <c r="T414" s="7"/>
      <c r="U414" s="7"/>
      <c r="V414" s="7"/>
      <c r="W414" s="7"/>
      <c r="X414" s="7">
        <v>3</v>
      </c>
      <c r="Y414" s="7"/>
      <c r="Z414" s="7"/>
      <c r="AA414" s="7"/>
      <c r="AB414" s="7">
        <f t="shared" si="32"/>
        <v>1</v>
      </c>
      <c r="AC414" s="7">
        <f t="shared" si="31"/>
        <v>1</v>
      </c>
      <c r="AD414" s="7"/>
      <c r="AE414" s="7"/>
      <c r="AF414" s="7"/>
      <c r="AG414" s="7"/>
      <c r="AH414" s="7"/>
      <c r="AI414" s="7"/>
      <c r="AJ414" s="7"/>
      <c r="AK414" s="7"/>
      <c r="AL414" s="9"/>
      <c r="AM414" s="7" t="s">
        <v>71</v>
      </c>
      <c r="AN414" s="7" t="s">
        <v>71</v>
      </c>
      <c r="AO414" s="12"/>
    </row>
    <row r="415" spans="1:41" s="11" customFormat="1" x14ac:dyDescent="0.25">
      <c r="A415" s="2">
        <v>414</v>
      </c>
      <c r="B415" s="7" t="s">
        <v>379</v>
      </c>
      <c r="C415" s="7" t="s">
        <v>100</v>
      </c>
      <c r="D415" s="7">
        <v>2</v>
      </c>
      <c r="E415" s="7">
        <v>2</v>
      </c>
      <c r="F415" s="8">
        <v>1</v>
      </c>
      <c r="G415" s="8">
        <v>1</v>
      </c>
      <c r="H415" s="7">
        <v>1</v>
      </c>
      <c r="I415" s="7">
        <v>1</v>
      </c>
      <c r="J415" s="9" t="s">
        <v>219</v>
      </c>
      <c r="K415" s="7">
        <v>1</v>
      </c>
      <c r="L415" s="7" t="s">
        <v>52</v>
      </c>
      <c r="M415" s="7">
        <f t="shared" si="30"/>
        <v>1</v>
      </c>
      <c r="N415" s="9" t="s">
        <v>34</v>
      </c>
      <c r="O415" s="7">
        <v>0</v>
      </c>
      <c r="P415" s="9" t="s">
        <v>63</v>
      </c>
      <c r="Q415" s="7"/>
      <c r="R415" s="7" t="s">
        <v>38</v>
      </c>
      <c r="S415" s="10" t="s">
        <v>1739</v>
      </c>
      <c r="T415" s="7"/>
      <c r="U415" s="7"/>
      <c r="V415" s="7"/>
      <c r="W415" s="7"/>
      <c r="X415" s="7">
        <v>3</v>
      </c>
      <c r="Y415" s="7"/>
      <c r="Z415" s="7"/>
      <c r="AA415" s="7"/>
      <c r="AB415" s="7">
        <f t="shared" si="32"/>
        <v>1</v>
      </c>
      <c r="AC415" s="7">
        <f t="shared" si="31"/>
        <v>1</v>
      </c>
      <c r="AD415" s="7"/>
      <c r="AE415" s="7"/>
      <c r="AF415" s="7"/>
      <c r="AG415" s="7"/>
      <c r="AH415" s="7"/>
      <c r="AI415" s="7"/>
      <c r="AJ415" s="7"/>
      <c r="AK415" s="7"/>
      <c r="AL415" s="9"/>
      <c r="AM415" s="7" t="s">
        <v>71</v>
      </c>
      <c r="AN415" s="7" t="s">
        <v>71</v>
      </c>
      <c r="AO415" s="12"/>
    </row>
    <row r="416" spans="1:41" s="11" customFormat="1" x14ac:dyDescent="0.25">
      <c r="A416" s="2">
        <v>415</v>
      </c>
      <c r="B416" s="7" t="s">
        <v>379</v>
      </c>
      <c r="C416" s="7" t="s">
        <v>78</v>
      </c>
      <c r="D416" s="7">
        <v>2</v>
      </c>
      <c r="E416" s="7">
        <v>2</v>
      </c>
      <c r="F416" s="8">
        <v>1</v>
      </c>
      <c r="G416" s="8">
        <v>1</v>
      </c>
      <c r="H416" s="7">
        <v>1</v>
      </c>
      <c r="I416" s="7">
        <v>1</v>
      </c>
      <c r="J416" s="9" t="s">
        <v>77</v>
      </c>
      <c r="K416" s="7">
        <v>1</v>
      </c>
      <c r="L416" s="7" t="s">
        <v>38</v>
      </c>
      <c r="M416" s="7">
        <f t="shared" si="30"/>
        <v>0</v>
      </c>
      <c r="N416" s="9" t="s">
        <v>36</v>
      </c>
      <c r="O416" s="7">
        <v>0</v>
      </c>
      <c r="P416" s="9" t="s">
        <v>63</v>
      </c>
      <c r="Q416" s="7" t="s">
        <v>38</v>
      </c>
      <c r="R416" s="7" t="s">
        <v>38</v>
      </c>
      <c r="S416" s="10" t="s">
        <v>450</v>
      </c>
      <c r="T416" s="7">
        <v>9</v>
      </c>
      <c r="U416" s="7">
        <v>9</v>
      </c>
      <c r="V416" s="7">
        <v>110</v>
      </c>
      <c r="W416" s="7" t="s">
        <v>88</v>
      </c>
      <c r="X416" s="7"/>
      <c r="Y416" s="7"/>
      <c r="Z416" s="7"/>
      <c r="AA416" s="7"/>
      <c r="AB416" s="7">
        <f t="shared" si="32"/>
        <v>3</v>
      </c>
      <c r="AC416" s="7">
        <f t="shared" si="31"/>
        <v>0</v>
      </c>
      <c r="AD416" s="7"/>
      <c r="AE416" s="7"/>
      <c r="AF416" s="7"/>
      <c r="AG416" s="7"/>
      <c r="AH416" s="7"/>
      <c r="AI416" s="10" t="s">
        <v>1645</v>
      </c>
      <c r="AJ416" s="7"/>
      <c r="AK416" s="7"/>
      <c r="AL416" s="9"/>
      <c r="AM416" s="7" t="s">
        <v>42</v>
      </c>
      <c r="AN416" s="7" t="s">
        <v>42</v>
      </c>
      <c r="AO416" s="10" t="s">
        <v>2535</v>
      </c>
    </row>
    <row r="417" spans="1:41" s="11" customFormat="1" x14ac:dyDescent="0.25">
      <c r="A417" s="2">
        <v>416</v>
      </c>
      <c r="B417" s="7" t="s">
        <v>379</v>
      </c>
      <c r="C417" s="7" t="s">
        <v>100</v>
      </c>
      <c r="D417" s="7">
        <v>4</v>
      </c>
      <c r="E417" s="7">
        <v>4</v>
      </c>
      <c r="F417" s="8">
        <v>1</v>
      </c>
      <c r="G417" s="8">
        <v>1</v>
      </c>
      <c r="H417" s="7">
        <v>1</v>
      </c>
      <c r="I417" s="7">
        <v>1</v>
      </c>
      <c r="J417" s="9" t="s">
        <v>77</v>
      </c>
      <c r="K417" s="7">
        <v>1</v>
      </c>
      <c r="L417" s="7" t="s">
        <v>38</v>
      </c>
      <c r="M417" s="7">
        <f t="shared" si="30"/>
        <v>0</v>
      </c>
      <c r="N417" s="9" t="s">
        <v>36</v>
      </c>
      <c r="O417" s="7">
        <v>0</v>
      </c>
      <c r="P417" s="9" t="s">
        <v>63</v>
      </c>
      <c r="Q417" s="7" t="s">
        <v>38</v>
      </c>
      <c r="R417" s="7" t="s">
        <v>38</v>
      </c>
      <c r="S417" s="10" t="s">
        <v>1740</v>
      </c>
      <c r="T417" s="7"/>
      <c r="U417" s="7"/>
      <c r="V417" s="7"/>
      <c r="W417" s="7"/>
      <c r="X417" s="7">
        <v>3</v>
      </c>
      <c r="Y417" s="7"/>
      <c r="Z417" s="7"/>
      <c r="AA417" s="7"/>
      <c r="AB417" s="7">
        <f t="shared" si="32"/>
        <v>1</v>
      </c>
      <c r="AC417" s="7">
        <f t="shared" si="31"/>
        <v>0</v>
      </c>
      <c r="AD417" s="7"/>
      <c r="AE417" s="7"/>
      <c r="AF417" s="7"/>
      <c r="AG417" s="7"/>
      <c r="AH417" s="7"/>
      <c r="AI417" s="10" t="s">
        <v>2305</v>
      </c>
      <c r="AJ417" s="7"/>
      <c r="AK417" s="7"/>
      <c r="AL417" s="9"/>
      <c r="AM417" s="7" t="s">
        <v>42</v>
      </c>
      <c r="AN417" s="7" t="s">
        <v>42</v>
      </c>
      <c r="AO417" s="7"/>
    </row>
    <row r="418" spans="1:41" s="11" customFormat="1" x14ac:dyDescent="0.25">
      <c r="A418" s="2">
        <v>417</v>
      </c>
      <c r="B418" s="7" t="s">
        <v>379</v>
      </c>
      <c r="C418" s="7" t="s">
        <v>104</v>
      </c>
      <c r="D418" s="7">
        <v>4</v>
      </c>
      <c r="E418" s="7">
        <v>4</v>
      </c>
      <c r="F418" s="8">
        <v>1</v>
      </c>
      <c r="G418" s="8">
        <v>1</v>
      </c>
      <c r="H418" s="7">
        <v>1</v>
      </c>
      <c r="I418" s="7">
        <v>1</v>
      </c>
      <c r="J418" s="9" t="s">
        <v>35</v>
      </c>
      <c r="K418" s="7">
        <v>1</v>
      </c>
      <c r="L418" s="7" t="s">
        <v>52</v>
      </c>
      <c r="M418" s="7">
        <f t="shared" si="30"/>
        <v>1</v>
      </c>
      <c r="N418" s="9" t="s">
        <v>34</v>
      </c>
      <c r="O418" s="7">
        <v>0</v>
      </c>
      <c r="P418" s="9" t="s">
        <v>63</v>
      </c>
      <c r="Q418" s="7" t="s">
        <v>38</v>
      </c>
      <c r="R418" s="7" t="s">
        <v>38</v>
      </c>
      <c r="S418" s="7"/>
      <c r="T418" s="7"/>
      <c r="U418" s="7"/>
      <c r="V418" s="7"/>
      <c r="W418" s="7"/>
      <c r="X418" s="7">
        <v>3</v>
      </c>
      <c r="Y418" s="7"/>
      <c r="Z418" s="7"/>
      <c r="AA418" s="7"/>
      <c r="AB418" s="7">
        <f t="shared" si="32"/>
        <v>1</v>
      </c>
      <c r="AC418" s="7">
        <f t="shared" si="31"/>
        <v>1</v>
      </c>
      <c r="AD418" s="7"/>
      <c r="AE418" s="7">
        <v>1</v>
      </c>
      <c r="AF418" s="7"/>
      <c r="AG418" s="7"/>
      <c r="AH418" s="7" t="s">
        <v>38</v>
      </c>
      <c r="AI418" s="7"/>
      <c r="AJ418" s="7"/>
      <c r="AK418" s="7"/>
      <c r="AL418" s="9"/>
      <c r="AM418" s="7" t="s">
        <v>71</v>
      </c>
      <c r="AN418" s="7" t="s">
        <v>71</v>
      </c>
      <c r="AO418" s="7"/>
    </row>
    <row r="419" spans="1:41" s="11" customFormat="1" ht="24" x14ac:dyDescent="0.25">
      <c r="A419" s="2">
        <v>418</v>
      </c>
      <c r="B419" s="7" t="s">
        <v>379</v>
      </c>
      <c r="C419" s="7" t="s">
        <v>78</v>
      </c>
      <c r="D419" s="7">
        <v>23</v>
      </c>
      <c r="E419" s="7">
        <v>23</v>
      </c>
      <c r="F419" s="8">
        <v>1</v>
      </c>
      <c r="G419" s="8">
        <v>1</v>
      </c>
      <c r="H419" s="7">
        <v>1</v>
      </c>
      <c r="I419" s="7">
        <v>1</v>
      </c>
      <c r="J419" s="9" t="s">
        <v>176</v>
      </c>
      <c r="K419" s="7">
        <v>3</v>
      </c>
      <c r="L419" s="7" t="s">
        <v>52</v>
      </c>
      <c r="M419" s="7">
        <f t="shared" si="30"/>
        <v>1</v>
      </c>
      <c r="N419" s="9" t="s">
        <v>177</v>
      </c>
      <c r="O419" s="7">
        <v>0</v>
      </c>
      <c r="P419" s="9" t="s">
        <v>63</v>
      </c>
      <c r="Q419" s="7" t="s">
        <v>38</v>
      </c>
      <c r="R419" s="7" t="s">
        <v>38</v>
      </c>
      <c r="S419" s="10" t="s">
        <v>1741</v>
      </c>
      <c r="T419" s="7">
        <v>5</v>
      </c>
      <c r="U419" s="7">
        <v>5</v>
      </c>
      <c r="V419" s="7">
        <v>160</v>
      </c>
      <c r="W419" s="7" t="s">
        <v>406</v>
      </c>
      <c r="X419" s="7"/>
      <c r="Y419" s="7"/>
      <c r="Z419" s="7"/>
      <c r="AA419" s="7"/>
      <c r="AB419" s="7">
        <f t="shared" si="32"/>
        <v>1.6666666666666667</v>
      </c>
      <c r="AC419" s="7">
        <f t="shared" si="31"/>
        <v>1.6666666666666667</v>
      </c>
      <c r="AD419" s="7"/>
      <c r="AE419" s="7"/>
      <c r="AF419" s="7"/>
      <c r="AG419" s="7"/>
      <c r="AH419" s="7"/>
      <c r="AI419" s="7"/>
      <c r="AJ419" s="7"/>
      <c r="AK419" s="7"/>
      <c r="AL419" s="9"/>
      <c r="AM419" s="7" t="s">
        <v>215</v>
      </c>
      <c r="AN419" s="7" t="s">
        <v>2852</v>
      </c>
      <c r="AO419" s="7"/>
    </row>
    <row r="420" spans="1:41" s="11" customFormat="1" x14ac:dyDescent="0.25">
      <c r="A420" s="2">
        <v>419</v>
      </c>
      <c r="B420" s="7" t="s">
        <v>379</v>
      </c>
      <c r="C420" s="7" t="s">
        <v>119</v>
      </c>
      <c r="D420" s="7">
        <v>4</v>
      </c>
      <c r="E420" s="7">
        <v>4</v>
      </c>
      <c r="F420" s="8">
        <v>1</v>
      </c>
      <c r="G420" s="8">
        <v>1</v>
      </c>
      <c r="H420" s="7">
        <v>1</v>
      </c>
      <c r="I420" s="7">
        <v>1</v>
      </c>
      <c r="J420" s="9" t="s">
        <v>35</v>
      </c>
      <c r="K420" s="7">
        <v>1</v>
      </c>
      <c r="L420" s="7" t="s">
        <v>52</v>
      </c>
      <c r="M420" s="7">
        <f t="shared" si="30"/>
        <v>1</v>
      </c>
      <c r="N420" s="9" t="s">
        <v>36</v>
      </c>
      <c r="O420" s="7">
        <v>0</v>
      </c>
      <c r="P420" s="9" t="s">
        <v>63</v>
      </c>
      <c r="Q420" s="7"/>
      <c r="R420" s="7" t="s">
        <v>38</v>
      </c>
      <c r="S420" s="7" t="s">
        <v>307</v>
      </c>
      <c r="T420" s="7"/>
      <c r="U420" s="7"/>
      <c r="V420" s="7"/>
      <c r="W420" s="7"/>
      <c r="X420" s="7"/>
      <c r="Y420" s="7"/>
      <c r="Z420" s="7"/>
      <c r="AA420" s="7"/>
      <c r="AB420" s="7">
        <v>0.33333333333333298</v>
      </c>
      <c r="AC420" s="7">
        <f t="shared" si="31"/>
        <v>0.33333333333333298</v>
      </c>
      <c r="AD420" s="7">
        <v>1</v>
      </c>
      <c r="AE420" s="7"/>
      <c r="AF420" s="7"/>
      <c r="AG420" s="7" t="s">
        <v>407</v>
      </c>
      <c r="AH420" s="7"/>
      <c r="AI420" s="7"/>
      <c r="AJ420" s="7"/>
      <c r="AK420" s="7"/>
      <c r="AL420" s="9"/>
      <c r="AM420" s="7" t="s">
        <v>71</v>
      </c>
      <c r="AN420" s="7" t="s">
        <v>71</v>
      </c>
      <c r="AO420" s="12"/>
    </row>
    <row r="421" spans="1:41" s="11" customFormat="1" x14ac:dyDescent="0.25">
      <c r="A421" s="2">
        <v>420</v>
      </c>
      <c r="B421" s="7" t="s">
        <v>379</v>
      </c>
      <c r="C421" s="7" t="s">
        <v>89</v>
      </c>
      <c r="D421" s="7" t="s">
        <v>408</v>
      </c>
      <c r="E421" s="7">
        <v>15</v>
      </c>
      <c r="F421" s="8">
        <v>2</v>
      </c>
      <c r="G421" s="8">
        <v>2</v>
      </c>
      <c r="H421" s="7" t="s">
        <v>87</v>
      </c>
      <c r="I421" s="7">
        <v>2</v>
      </c>
      <c r="J421" s="9" t="s">
        <v>35</v>
      </c>
      <c r="K421" s="7">
        <v>2</v>
      </c>
      <c r="L421" s="7" t="s">
        <v>52</v>
      </c>
      <c r="M421" s="7">
        <f t="shared" si="30"/>
        <v>2</v>
      </c>
      <c r="N421" s="9" t="s">
        <v>34</v>
      </c>
      <c r="O421" s="7">
        <v>1</v>
      </c>
      <c r="P421" s="9" t="s">
        <v>33</v>
      </c>
      <c r="Q421" s="7" t="s">
        <v>38</v>
      </c>
      <c r="R421" s="7" t="s">
        <v>38</v>
      </c>
      <c r="S421" s="10" t="s">
        <v>1742</v>
      </c>
      <c r="T421" s="7"/>
      <c r="U421" s="7"/>
      <c r="V421" s="7"/>
      <c r="W421" s="7"/>
      <c r="X421" s="7">
        <v>3</v>
      </c>
      <c r="Y421" s="7"/>
      <c r="Z421" s="7"/>
      <c r="AA421" s="7"/>
      <c r="AB421" s="7">
        <f t="shared" ref="AB421:AB448" si="33">(U421+X421+Z421)/3</f>
        <v>1</v>
      </c>
      <c r="AC421" s="7">
        <f t="shared" si="31"/>
        <v>1</v>
      </c>
      <c r="AD421" s="7"/>
      <c r="AE421" s="7"/>
      <c r="AF421" s="7"/>
      <c r="AG421" s="7"/>
      <c r="AH421" s="7"/>
      <c r="AI421" s="7"/>
      <c r="AJ421" s="7"/>
      <c r="AK421" s="7"/>
      <c r="AL421" s="9"/>
      <c r="AM421" s="7" t="s">
        <v>71</v>
      </c>
      <c r="AN421" s="7" t="s">
        <v>71</v>
      </c>
      <c r="AO421" s="12"/>
    </row>
    <row r="422" spans="1:41" s="11" customFormat="1" x14ac:dyDescent="0.25">
      <c r="A422" s="2">
        <v>421</v>
      </c>
      <c r="B422" s="7" t="s">
        <v>379</v>
      </c>
      <c r="C422" s="7" t="s">
        <v>89</v>
      </c>
      <c r="D422" s="7" t="s">
        <v>409</v>
      </c>
      <c r="E422" s="7">
        <f>22+5</f>
        <v>27</v>
      </c>
      <c r="F422" s="8">
        <v>3</v>
      </c>
      <c r="G422" s="8">
        <v>3</v>
      </c>
      <c r="H422" s="7" t="s">
        <v>97</v>
      </c>
      <c r="I422" s="7">
        <v>3</v>
      </c>
      <c r="J422" s="9" t="s">
        <v>35</v>
      </c>
      <c r="K422" s="7">
        <v>2</v>
      </c>
      <c r="L422" s="7" t="s">
        <v>52</v>
      </c>
      <c r="M422" s="7">
        <f t="shared" si="30"/>
        <v>3</v>
      </c>
      <c r="N422" s="9" t="s">
        <v>34</v>
      </c>
      <c r="O422" s="7">
        <v>0</v>
      </c>
      <c r="P422" s="9" t="s">
        <v>63</v>
      </c>
      <c r="Q422" s="7" t="s">
        <v>38</v>
      </c>
      <c r="R422" s="7" t="s">
        <v>38</v>
      </c>
      <c r="S422" s="10" t="s">
        <v>1743</v>
      </c>
      <c r="T422" s="7"/>
      <c r="U422" s="7"/>
      <c r="V422" s="7"/>
      <c r="W422" s="7"/>
      <c r="X422" s="7">
        <v>3</v>
      </c>
      <c r="Y422" s="7"/>
      <c r="Z422" s="7"/>
      <c r="AA422" s="7"/>
      <c r="AB422" s="7">
        <f t="shared" si="33"/>
        <v>1</v>
      </c>
      <c r="AC422" s="7">
        <f t="shared" si="31"/>
        <v>1</v>
      </c>
      <c r="AD422" s="7"/>
      <c r="AE422" s="7"/>
      <c r="AF422" s="7"/>
      <c r="AG422" s="7"/>
      <c r="AH422" s="7"/>
      <c r="AI422" s="7"/>
      <c r="AJ422" s="7"/>
      <c r="AK422" s="7"/>
      <c r="AL422" s="9"/>
      <c r="AM422" s="7" t="s">
        <v>71</v>
      </c>
      <c r="AN422" s="7" t="s">
        <v>71</v>
      </c>
      <c r="AO422" s="12"/>
    </row>
    <row r="423" spans="1:41" s="11" customFormat="1" x14ac:dyDescent="0.25">
      <c r="A423" s="2">
        <v>422</v>
      </c>
      <c r="B423" s="7" t="s">
        <v>379</v>
      </c>
      <c r="C423" s="7" t="s">
        <v>100</v>
      </c>
      <c r="D423" s="7">
        <v>2</v>
      </c>
      <c r="E423" s="7">
        <v>2</v>
      </c>
      <c r="F423" s="8">
        <v>1</v>
      </c>
      <c r="G423" s="8">
        <v>1</v>
      </c>
      <c r="H423" s="7">
        <v>1</v>
      </c>
      <c r="I423" s="7">
        <v>1</v>
      </c>
      <c r="J423" s="9" t="s">
        <v>70</v>
      </c>
      <c r="K423" s="7">
        <v>1</v>
      </c>
      <c r="L423" s="7" t="s">
        <v>52</v>
      </c>
      <c r="M423" s="7">
        <f t="shared" si="30"/>
        <v>1</v>
      </c>
      <c r="N423" s="9" t="s">
        <v>36</v>
      </c>
      <c r="O423" s="7">
        <v>0</v>
      </c>
      <c r="P423" s="9" t="s">
        <v>33</v>
      </c>
      <c r="Q423" s="7" t="s">
        <v>38</v>
      </c>
      <c r="R423" s="7" t="s">
        <v>38</v>
      </c>
      <c r="S423" s="7"/>
      <c r="T423" s="7"/>
      <c r="U423" s="7"/>
      <c r="V423" s="7"/>
      <c r="W423" s="7"/>
      <c r="X423" s="7">
        <v>3</v>
      </c>
      <c r="Y423" s="7"/>
      <c r="Z423" s="7"/>
      <c r="AA423" s="7"/>
      <c r="AB423" s="7">
        <f t="shared" si="33"/>
        <v>1</v>
      </c>
      <c r="AC423" s="7">
        <f t="shared" si="31"/>
        <v>1</v>
      </c>
      <c r="AD423" s="7"/>
      <c r="AE423" s="7"/>
      <c r="AF423" s="7"/>
      <c r="AG423" s="7"/>
      <c r="AH423" s="7"/>
      <c r="AI423" s="7"/>
      <c r="AJ423" s="7"/>
      <c r="AK423" s="7"/>
      <c r="AL423" s="9"/>
      <c r="AM423" s="7" t="s">
        <v>71</v>
      </c>
      <c r="AN423" s="7" t="s">
        <v>71</v>
      </c>
      <c r="AO423" s="12"/>
    </row>
    <row r="424" spans="1:41" s="11" customFormat="1" x14ac:dyDescent="0.25">
      <c r="A424" s="2">
        <v>423</v>
      </c>
      <c r="B424" s="7" t="s">
        <v>379</v>
      </c>
      <c r="C424" s="7" t="s">
        <v>89</v>
      </c>
      <c r="D424" s="7" t="s">
        <v>410</v>
      </c>
      <c r="E424" s="7">
        <v>15</v>
      </c>
      <c r="F424" s="8">
        <v>2</v>
      </c>
      <c r="G424" s="8">
        <v>2</v>
      </c>
      <c r="H424" s="7" t="s">
        <v>87</v>
      </c>
      <c r="I424" s="7">
        <v>2</v>
      </c>
      <c r="J424" s="9" t="s">
        <v>35</v>
      </c>
      <c r="K424" s="7">
        <v>2</v>
      </c>
      <c r="L424" s="7" t="s">
        <v>52</v>
      </c>
      <c r="M424" s="7">
        <f t="shared" si="30"/>
        <v>2</v>
      </c>
      <c r="N424" s="9" t="s">
        <v>34</v>
      </c>
      <c r="O424" s="7">
        <v>0</v>
      </c>
      <c r="P424" s="9" t="s">
        <v>34</v>
      </c>
      <c r="Q424" s="7" t="s">
        <v>38</v>
      </c>
      <c r="R424" s="7" t="s">
        <v>38</v>
      </c>
      <c r="S424" s="10" t="s">
        <v>1744</v>
      </c>
      <c r="T424" s="7"/>
      <c r="U424" s="7"/>
      <c r="V424" s="7"/>
      <c r="W424" s="7"/>
      <c r="X424" s="7">
        <v>3</v>
      </c>
      <c r="Y424" s="7"/>
      <c r="Z424" s="7"/>
      <c r="AA424" s="7"/>
      <c r="AB424" s="7">
        <f t="shared" si="33"/>
        <v>1</v>
      </c>
      <c r="AC424" s="7">
        <f t="shared" si="31"/>
        <v>1</v>
      </c>
      <c r="AD424" s="7"/>
      <c r="AE424" s="7"/>
      <c r="AF424" s="7"/>
      <c r="AG424" s="7"/>
      <c r="AH424" s="7"/>
      <c r="AI424" s="7"/>
      <c r="AJ424" s="7"/>
      <c r="AK424" s="7"/>
      <c r="AL424" s="9"/>
      <c r="AM424" s="7" t="s">
        <v>71</v>
      </c>
      <c r="AN424" s="7" t="s">
        <v>71</v>
      </c>
      <c r="AO424" s="12"/>
    </row>
    <row r="425" spans="1:41" s="11" customFormat="1" x14ac:dyDescent="0.25">
      <c r="A425" s="2">
        <v>424</v>
      </c>
      <c r="B425" s="7" t="s">
        <v>379</v>
      </c>
      <c r="C425" s="7" t="s">
        <v>100</v>
      </c>
      <c r="D425" s="7">
        <v>14</v>
      </c>
      <c r="E425" s="7">
        <v>14</v>
      </c>
      <c r="F425" s="8">
        <v>1</v>
      </c>
      <c r="G425" s="8">
        <v>1</v>
      </c>
      <c r="H425" s="7">
        <v>1</v>
      </c>
      <c r="I425" s="7">
        <v>1</v>
      </c>
      <c r="J425" s="9" t="s">
        <v>176</v>
      </c>
      <c r="K425" s="7">
        <v>2</v>
      </c>
      <c r="L425" s="7" t="s">
        <v>52</v>
      </c>
      <c r="M425" s="7">
        <f t="shared" si="30"/>
        <v>1</v>
      </c>
      <c r="N425" s="9" t="s">
        <v>109</v>
      </c>
      <c r="O425" s="7">
        <v>0</v>
      </c>
      <c r="P425" s="9" t="s">
        <v>63</v>
      </c>
      <c r="Q425" s="7" t="s">
        <v>38</v>
      </c>
      <c r="R425" s="7" t="s">
        <v>38</v>
      </c>
      <c r="S425" s="10" t="s">
        <v>1745</v>
      </c>
      <c r="T425" s="7"/>
      <c r="U425" s="7"/>
      <c r="V425" s="7"/>
      <c r="W425" s="7"/>
      <c r="X425" s="7">
        <v>3</v>
      </c>
      <c r="Y425" s="7"/>
      <c r="Z425" s="7"/>
      <c r="AA425" s="7"/>
      <c r="AB425" s="7">
        <f t="shared" si="33"/>
        <v>1</v>
      </c>
      <c r="AC425" s="7">
        <f t="shared" si="31"/>
        <v>1</v>
      </c>
      <c r="AD425" s="7"/>
      <c r="AE425" s="7"/>
      <c r="AF425" s="7"/>
      <c r="AG425" s="7"/>
      <c r="AH425" s="7"/>
      <c r="AI425" s="7"/>
      <c r="AJ425" s="7"/>
      <c r="AK425" s="7"/>
      <c r="AL425" s="9"/>
      <c r="AM425" s="7" t="s">
        <v>71</v>
      </c>
      <c r="AN425" s="7" t="s">
        <v>71</v>
      </c>
      <c r="AO425" s="7"/>
    </row>
    <row r="426" spans="1:41" s="11" customFormat="1" x14ac:dyDescent="0.25">
      <c r="A426" s="2">
        <v>425</v>
      </c>
      <c r="B426" s="7" t="s">
        <v>379</v>
      </c>
      <c r="C426" s="7" t="s">
        <v>89</v>
      </c>
      <c r="D426" s="7" t="s">
        <v>243</v>
      </c>
      <c r="E426" s="7">
        <v>10</v>
      </c>
      <c r="F426" s="8">
        <v>2</v>
      </c>
      <c r="G426" s="8">
        <v>2</v>
      </c>
      <c r="H426" s="7" t="s">
        <v>87</v>
      </c>
      <c r="I426" s="7">
        <v>2</v>
      </c>
      <c r="J426" s="9" t="s">
        <v>219</v>
      </c>
      <c r="K426" s="7">
        <v>1</v>
      </c>
      <c r="L426" s="7" t="s">
        <v>52</v>
      </c>
      <c r="M426" s="7">
        <f t="shared" si="30"/>
        <v>2</v>
      </c>
      <c r="N426" s="9" t="s">
        <v>34</v>
      </c>
      <c r="O426" s="7">
        <v>0</v>
      </c>
      <c r="P426" s="9" t="s">
        <v>36</v>
      </c>
      <c r="Q426" s="7" t="s">
        <v>38</v>
      </c>
      <c r="R426" s="7" t="s">
        <v>38</v>
      </c>
      <c r="S426" s="10" t="s">
        <v>1630</v>
      </c>
      <c r="T426" s="7"/>
      <c r="U426" s="7"/>
      <c r="V426" s="7"/>
      <c r="W426" s="7"/>
      <c r="X426" s="7">
        <v>3</v>
      </c>
      <c r="Y426" s="7"/>
      <c r="Z426" s="7"/>
      <c r="AA426" s="7"/>
      <c r="AB426" s="7">
        <f t="shared" si="33"/>
        <v>1</v>
      </c>
      <c r="AC426" s="7">
        <f t="shared" si="31"/>
        <v>1</v>
      </c>
      <c r="AD426" s="7"/>
      <c r="AE426" s="7"/>
      <c r="AF426" s="7"/>
      <c r="AG426" s="7"/>
      <c r="AH426" s="7"/>
      <c r="AI426" s="7"/>
      <c r="AJ426" s="7"/>
      <c r="AK426" s="7"/>
      <c r="AL426" s="9"/>
      <c r="AM426" s="7" t="s">
        <v>71</v>
      </c>
      <c r="AN426" s="7" t="s">
        <v>71</v>
      </c>
      <c r="AO426" s="12"/>
    </row>
    <row r="427" spans="1:41" s="11" customFormat="1" x14ac:dyDescent="0.25">
      <c r="A427" s="2">
        <v>426</v>
      </c>
      <c r="B427" s="7" t="s">
        <v>379</v>
      </c>
      <c r="C427" s="7" t="s">
        <v>100</v>
      </c>
      <c r="D427" s="7">
        <v>4</v>
      </c>
      <c r="E427" s="7">
        <v>4</v>
      </c>
      <c r="F427" s="8">
        <v>1</v>
      </c>
      <c r="G427" s="8">
        <v>1</v>
      </c>
      <c r="H427" s="7">
        <v>1</v>
      </c>
      <c r="I427" s="7">
        <v>1</v>
      </c>
      <c r="J427" s="9" t="s">
        <v>219</v>
      </c>
      <c r="K427" s="7">
        <v>1</v>
      </c>
      <c r="L427" s="7" t="s">
        <v>52</v>
      </c>
      <c r="M427" s="7">
        <f t="shared" si="30"/>
        <v>1</v>
      </c>
      <c r="N427" s="9" t="s">
        <v>34</v>
      </c>
      <c r="O427" s="7">
        <v>0</v>
      </c>
      <c r="P427" s="9" t="s">
        <v>63</v>
      </c>
      <c r="Q427" s="7" t="s">
        <v>283</v>
      </c>
      <c r="R427" s="7"/>
      <c r="S427" s="10" t="s">
        <v>1746</v>
      </c>
      <c r="T427" s="7"/>
      <c r="U427" s="7"/>
      <c r="V427" s="7"/>
      <c r="W427" s="7"/>
      <c r="X427" s="7">
        <v>3</v>
      </c>
      <c r="Y427" s="7"/>
      <c r="Z427" s="7"/>
      <c r="AA427" s="7"/>
      <c r="AB427" s="7">
        <f t="shared" si="33"/>
        <v>1</v>
      </c>
      <c r="AC427" s="7">
        <f t="shared" si="31"/>
        <v>1</v>
      </c>
      <c r="AD427" s="7"/>
      <c r="AE427" s="7"/>
      <c r="AF427" s="7"/>
      <c r="AG427" s="7"/>
      <c r="AH427" s="7"/>
      <c r="AI427" s="7"/>
      <c r="AJ427" s="7"/>
      <c r="AK427" s="7"/>
      <c r="AL427" s="9"/>
      <c r="AM427" s="7" t="s">
        <v>71</v>
      </c>
      <c r="AN427" s="7" t="s">
        <v>71</v>
      </c>
      <c r="AO427" s="12"/>
    </row>
    <row r="428" spans="1:41" s="11" customFormat="1" x14ac:dyDescent="0.25">
      <c r="A428" s="2">
        <v>427</v>
      </c>
      <c r="B428" s="7" t="s">
        <v>379</v>
      </c>
      <c r="C428" s="7" t="s">
        <v>100</v>
      </c>
      <c r="D428" s="7">
        <v>8</v>
      </c>
      <c r="E428" s="7">
        <v>8</v>
      </c>
      <c r="F428" s="8">
        <v>1</v>
      </c>
      <c r="G428" s="8">
        <v>1</v>
      </c>
      <c r="H428" s="7">
        <v>1</v>
      </c>
      <c r="I428" s="7">
        <v>1</v>
      </c>
      <c r="J428" s="9" t="s">
        <v>219</v>
      </c>
      <c r="K428" s="7">
        <v>1</v>
      </c>
      <c r="L428" s="7" t="s">
        <v>52</v>
      </c>
      <c r="M428" s="7">
        <f t="shared" si="30"/>
        <v>1</v>
      </c>
      <c r="N428" s="9" t="s">
        <v>34</v>
      </c>
      <c r="O428" s="7">
        <v>2</v>
      </c>
      <c r="P428" s="9" t="s">
        <v>34</v>
      </c>
      <c r="Q428" s="7" t="s">
        <v>38</v>
      </c>
      <c r="R428" s="7" t="s">
        <v>38</v>
      </c>
      <c r="S428" s="7"/>
      <c r="T428" s="7"/>
      <c r="U428" s="7"/>
      <c r="V428" s="7"/>
      <c r="W428" s="7"/>
      <c r="X428" s="7">
        <v>3</v>
      </c>
      <c r="Y428" s="7"/>
      <c r="Z428" s="7"/>
      <c r="AA428" s="7"/>
      <c r="AB428" s="7">
        <f t="shared" si="33"/>
        <v>1</v>
      </c>
      <c r="AC428" s="7">
        <f t="shared" si="31"/>
        <v>1</v>
      </c>
      <c r="AD428" s="7"/>
      <c r="AE428" s="7"/>
      <c r="AF428" s="7"/>
      <c r="AG428" s="7"/>
      <c r="AH428" s="7"/>
      <c r="AI428" s="7"/>
      <c r="AJ428" s="7"/>
      <c r="AK428" s="7"/>
      <c r="AL428" s="9"/>
      <c r="AM428" s="7" t="s">
        <v>71</v>
      </c>
      <c r="AN428" s="7" t="s">
        <v>71</v>
      </c>
      <c r="AO428" s="12"/>
    </row>
    <row r="429" spans="1:41" s="11" customFormat="1" ht="24" x14ac:dyDescent="0.25">
      <c r="A429" s="2">
        <v>428</v>
      </c>
      <c r="B429" s="7" t="s">
        <v>379</v>
      </c>
      <c r="C429" s="7" t="s">
        <v>50</v>
      </c>
      <c r="D429" s="7">
        <v>116</v>
      </c>
      <c r="E429" s="7">
        <v>116</v>
      </c>
      <c r="F429" s="8">
        <v>1</v>
      </c>
      <c r="G429" s="8">
        <v>1</v>
      </c>
      <c r="H429" s="7">
        <v>1</v>
      </c>
      <c r="I429" s="7">
        <v>1</v>
      </c>
      <c r="J429" s="9" t="s">
        <v>219</v>
      </c>
      <c r="K429" s="7">
        <v>13</v>
      </c>
      <c r="L429" s="7" t="s">
        <v>52</v>
      </c>
      <c r="M429" s="7">
        <f t="shared" si="30"/>
        <v>1</v>
      </c>
      <c r="N429" s="9" t="s">
        <v>82</v>
      </c>
      <c r="O429" s="7">
        <v>0</v>
      </c>
      <c r="P429" s="9" t="s">
        <v>36</v>
      </c>
      <c r="Q429" s="7" t="s">
        <v>38</v>
      </c>
      <c r="R429" s="7" t="s">
        <v>38</v>
      </c>
      <c r="S429" s="10" t="s">
        <v>1747</v>
      </c>
      <c r="T429" s="7"/>
      <c r="U429" s="7"/>
      <c r="V429" s="7"/>
      <c r="W429" s="7"/>
      <c r="X429" s="7"/>
      <c r="Y429" s="7">
        <v>20</v>
      </c>
      <c r="Z429" s="7">
        <v>20</v>
      </c>
      <c r="AA429" s="7">
        <v>165</v>
      </c>
      <c r="AB429" s="7">
        <f t="shared" si="33"/>
        <v>6.666666666666667</v>
      </c>
      <c r="AC429" s="7">
        <f t="shared" si="31"/>
        <v>6.666666666666667</v>
      </c>
      <c r="AD429" s="7"/>
      <c r="AE429" s="7"/>
      <c r="AF429" s="7"/>
      <c r="AG429" s="7"/>
      <c r="AH429" s="7"/>
      <c r="AI429" s="7"/>
      <c r="AJ429" s="7"/>
      <c r="AK429" s="7"/>
      <c r="AL429" s="9"/>
      <c r="AM429" s="7" t="s">
        <v>71</v>
      </c>
      <c r="AN429" s="7" t="s">
        <v>71</v>
      </c>
      <c r="AO429" s="7"/>
    </row>
    <row r="430" spans="1:41" s="11" customFormat="1" ht="24" x14ac:dyDescent="0.25">
      <c r="A430" s="2">
        <v>429</v>
      </c>
      <c r="B430" s="7" t="s">
        <v>379</v>
      </c>
      <c r="C430" s="7" t="s">
        <v>50</v>
      </c>
      <c r="D430" s="7">
        <v>84</v>
      </c>
      <c r="E430" s="7">
        <v>84</v>
      </c>
      <c r="F430" s="8">
        <v>1</v>
      </c>
      <c r="G430" s="8">
        <v>1</v>
      </c>
      <c r="H430" s="7">
        <v>1</v>
      </c>
      <c r="I430" s="7">
        <v>1</v>
      </c>
      <c r="J430" s="9" t="s">
        <v>363</v>
      </c>
      <c r="K430" s="7">
        <v>13</v>
      </c>
      <c r="L430" s="7" t="s">
        <v>52</v>
      </c>
      <c r="M430" s="7">
        <f t="shared" si="30"/>
        <v>1</v>
      </c>
      <c r="N430" s="9" t="s">
        <v>36</v>
      </c>
      <c r="O430" s="7">
        <v>0</v>
      </c>
      <c r="P430" s="9" t="s">
        <v>63</v>
      </c>
      <c r="Q430" s="7" t="s">
        <v>38</v>
      </c>
      <c r="R430" s="7" t="s">
        <v>38</v>
      </c>
      <c r="S430" s="10" t="s">
        <v>1748</v>
      </c>
      <c r="T430" s="7"/>
      <c r="U430" s="7"/>
      <c r="V430" s="7"/>
      <c r="W430" s="7"/>
      <c r="X430" s="7"/>
      <c r="Y430" s="7">
        <v>12</v>
      </c>
      <c r="Z430" s="7">
        <v>12</v>
      </c>
      <c r="AA430" s="7">
        <v>150</v>
      </c>
      <c r="AB430" s="7">
        <f t="shared" si="33"/>
        <v>4</v>
      </c>
      <c r="AC430" s="7">
        <f t="shared" si="31"/>
        <v>4</v>
      </c>
      <c r="AD430" s="7"/>
      <c r="AE430" s="7"/>
      <c r="AF430" s="7"/>
      <c r="AG430" s="7"/>
      <c r="AH430" s="7"/>
      <c r="AI430" s="7"/>
      <c r="AJ430" s="7"/>
      <c r="AK430" s="7"/>
      <c r="AL430" s="9"/>
      <c r="AM430" s="7" t="s">
        <v>71</v>
      </c>
      <c r="AN430" s="7" t="s">
        <v>71</v>
      </c>
      <c r="AO430" s="10" t="s">
        <v>2539</v>
      </c>
    </row>
    <row r="431" spans="1:41" s="11" customFormat="1" x14ac:dyDescent="0.25">
      <c r="A431" s="2">
        <v>430</v>
      </c>
      <c r="B431" s="7" t="s">
        <v>379</v>
      </c>
      <c r="C431" s="7" t="s">
        <v>104</v>
      </c>
      <c r="D431" s="7" t="s">
        <v>411</v>
      </c>
      <c r="E431" s="7">
        <v>18</v>
      </c>
      <c r="F431" s="8">
        <v>1</v>
      </c>
      <c r="G431" s="8">
        <v>2</v>
      </c>
      <c r="H431" s="7">
        <v>2</v>
      </c>
      <c r="I431" s="7">
        <v>2</v>
      </c>
      <c r="J431" s="9" t="s">
        <v>77</v>
      </c>
      <c r="K431" s="7">
        <v>2</v>
      </c>
      <c r="L431" s="7" t="s">
        <v>38</v>
      </c>
      <c r="M431" s="7">
        <f t="shared" si="30"/>
        <v>0</v>
      </c>
      <c r="N431" s="9" t="s">
        <v>34</v>
      </c>
      <c r="O431" s="7">
        <v>0</v>
      </c>
      <c r="P431" s="9" t="s">
        <v>33</v>
      </c>
      <c r="Q431" s="7" t="s">
        <v>38</v>
      </c>
      <c r="R431" s="7" t="s">
        <v>38</v>
      </c>
      <c r="S431" s="10" t="s">
        <v>1749</v>
      </c>
      <c r="T431" s="7"/>
      <c r="U431" s="7"/>
      <c r="V431" s="7"/>
      <c r="W431" s="7"/>
      <c r="X431" s="7">
        <v>3</v>
      </c>
      <c r="Y431" s="7"/>
      <c r="Z431" s="7"/>
      <c r="AA431" s="7"/>
      <c r="AB431" s="7">
        <f t="shared" si="33"/>
        <v>1</v>
      </c>
      <c r="AC431" s="7">
        <f t="shared" si="31"/>
        <v>0</v>
      </c>
      <c r="AD431" s="7">
        <v>1</v>
      </c>
      <c r="AE431" s="7"/>
      <c r="AF431" s="7" t="s">
        <v>40</v>
      </c>
      <c r="AG431" s="7" t="s">
        <v>247</v>
      </c>
      <c r="AH431" s="7"/>
      <c r="AI431" s="7"/>
      <c r="AJ431" s="7"/>
      <c r="AK431" s="7"/>
      <c r="AL431" s="9"/>
      <c r="AM431" s="7" t="s">
        <v>42</v>
      </c>
      <c r="AN431" s="7" t="s">
        <v>42</v>
      </c>
      <c r="AO431" s="7"/>
    </row>
    <row r="432" spans="1:41" s="11" customFormat="1" ht="24" x14ac:dyDescent="0.25">
      <c r="A432" s="2">
        <v>431</v>
      </c>
      <c r="B432" s="7" t="s">
        <v>379</v>
      </c>
      <c r="C432" s="7" t="s">
        <v>104</v>
      </c>
      <c r="D432" s="7">
        <v>10</v>
      </c>
      <c r="E432" s="7">
        <v>10</v>
      </c>
      <c r="F432" s="8">
        <v>1</v>
      </c>
      <c r="G432" s="8">
        <v>1</v>
      </c>
      <c r="H432" s="7">
        <v>1</v>
      </c>
      <c r="I432" s="7">
        <v>1</v>
      </c>
      <c r="J432" s="9" t="s">
        <v>77</v>
      </c>
      <c r="K432" s="7">
        <v>1</v>
      </c>
      <c r="L432" s="7" t="s">
        <v>38</v>
      </c>
      <c r="M432" s="7">
        <f t="shared" si="30"/>
        <v>0</v>
      </c>
      <c r="N432" s="9" t="s">
        <v>36</v>
      </c>
      <c r="O432" s="7">
        <v>0</v>
      </c>
      <c r="P432" s="9" t="s">
        <v>33</v>
      </c>
      <c r="Q432" s="7" t="s">
        <v>38</v>
      </c>
      <c r="R432" s="7" t="s">
        <v>38</v>
      </c>
      <c r="S432" s="7"/>
      <c r="T432" s="7"/>
      <c r="U432" s="7"/>
      <c r="V432" s="7"/>
      <c r="W432" s="7"/>
      <c r="X432" s="7">
        <v>3</v>
      </c>
      <c r="Y432" s="7"/>
      <c r="Z432" s="7"/>
      <c r="AA432" s="7"/>
      <c r="AB432" s="7">
        <f t="shared" si="33"/>
        <v>1</v>
      </c>
      <c r="AC432" s="7">
        <f t="shared" si="31"/>
        <v>0</v>
      </c>
      <c r="AD432" s="7"/>
      <c r="AE432" s="7">
        <v>1</v>
      </c>
      <c r="AF432" s="7" t="s">
        <v>40</v>
      </c>
      <c r="AG432" s="7" t="s">
        <v>412</v>
      </c>
      <c r="AH432" s="7"/>
      <c r="AI432" s="7"/>
      <c r="AJ432" s="7"/>
      <c r="AK432" s="7"/>
      <c r="AL432" s="9"/>
      <c r="AM432" s="7" t="s">
        <v>42</v>
      </c>
      <c r="AN432" s="7" t="s">
        <v>42</v>
      </c>
      <c r="AO432" s="7"/>
    </row>
    <row r="433" spans="1:41" s="11" customFormat="1" ht="24" x14ac:dyDescent="0.25">
      <c r="A433" s="2">
        <v>432</v>
      </c>
      <c r="B433" s="7" t="s">
        <v>379</v>
      </c>
      <c r="C433" s="7" t="s">
        <v>78</v>
      </c>
      <c r="D433" s="7">
        <v>2</v>
      </c>
      <c r="E433" s="7">
        <v>2</v>
      </c>
      <c r="F433" s="8">
        <v>1</v>
      </c>
      <c r="G433" s="8">
        <v>1</v>
      </c>
      <c r="H433" s="7">
        <v>1</v>
      </c>
      <c r="I433" s="7">
        <v>1</v>
      </c>
      <c r="J433" s="9" t="s">
        <v>70</v>
      </c>
      <c r="K433" s="7">
        <v>2</v>
      </c>
      <c r="L433" s="7" t="s">
        <v>52</v>
      </c>
      <c r="M433" s="7">
        <f t="shared" si="30"/>
        <v>1</v>
      </c>
      <c r="N433" s="9" t="s">
        <v>36</v>
      </c>
      <c r="O433" s="7">
        <v>0</v>
      </c>
      <c r="P433" s="9" t="s">
        <v>63</v>
      </c>
      <c r="Q433" s="7" t="s">
        <v>38</v>
      </c>
      <c r="R433" s="7" t="s">
        <v>38</v>
      </c>
      <c r="S433" s="10" t="s">
        <v>1750</v>
      </c>
      <c r="T433" s="7">
        <v>5</v>
      </c>
      <c r="U433" s="7">
        <v>5</v>
      </c>
      <c r="V433" s="7">
        <v>110</v>
      </c>
      <c r="W433" s="7" t="s">
        <v>83</v>
      </c>
      <c r="X433" s="7"/>
      <c r="Y433" s="7"/>
      <c r="Z433" s="7"/>
      <c r="AA433" s="7"/>
      <c r="AB433" s="7">
        <f t="shared" si="33"/>
        <v>1.6666666666666667</v>
      </c>
      <c r="AC433" s="7">
        <f t="shared" si="31"/>
        <v>1.6666666666666667</v>
      </c>
      <c r="AD433" s="7"/>
      <c r="AE433" s="7"/>
      <c r="AF433" s="7"/>
      <c r="AG433" s="7"/>
      <c r="AH433" s="7"/>
      <c r="AI433" s="7"/>
      <c r="AJ433" s="7"/>
      <c r="AK433" s="7"/>
      <c r="AL433" s="9"/>
      <c r="AM433" s="7" t="s">
        <v>42</v>
      </c>
      <c r="AN433" s="7" t="s">
        <v>42</v>
      </c>
      <c r="AO433" s="7"/>
    </row>
    <row r="434" spans="1:41" s="11" customFormat="1" ht="24" x14ac:dyDescent="0.25">
      <c r="A434" s="2">
        <v>433</v>
      </c>
      <c r="B434" s="7" t="s">
        <v>379</v>
      </c>
      <c r="C434" s="7" t="s">
        <v>50</v>
      </c>
      <c r="D434" s="7">
        <v>20</v>
      </c>
      <c r="E434" s="7">
        <v>20</v>
      </c>
      <c r="F434" s="8">
        <v>1</v>
      </c>
      <c r="G434" s="8">
        <v>1</v>
      </c>
      <c r="H434" s="7">
        <v>1</v>
      </c>
      <c r="I434" s="7">
        <v>1</v>
      </c>
      <c r="J434" s="9" t="s">
        <v>35</v>
      </c>
      <c r="K434" s="7">
        <v>2</v>
      </c>
      <c r="L434" s="7" t="s">
        <v>52</v>
      </c>
      <c r="M434" s="7">
        <f t="shared" si="30"/>
        <v>1</v>
      </c>
      <c r="N434" s="9" t="s">
        <v>34</v>
      </c>
      <c r="O434" s="7">
        <v>0</v>
      </c>
      <c r="P434" s="9" t="s">
        <v>33</v>
      </c>
      <c r="Q434" s="7" t="s">
        <v>38</v>
      </c>
      <c r="R434" s="7" t="s">
        <v>38</v>
      </c>
      <c r="S434" s="10" t="s">
        <v>1751</v>
      </c>
      <c r="T434" s="7"/>
      <c r="U434" s="7"/>
      <c r="V434" s="7"/>
      <c r="W434" s="7"/>
      <c r="X434" s="7"/>
      <c r="Y434" s="7">
        <v>20</v>
      </c>
      <c r="Z434" s="7">
        <v>20</v>
      </c>
      <c r="AA434" s="7">
        <v>75</v>
      </c>
      <c r="AB434" s="7">
        <f t="shared" si="33"/>
        <v>6.666666666666667</v>
      </c>
      <c r="AC434" s="7">
        <f t="shared" si="31"/>
        <v>6.666666666666667</v>
      </c>
      <c r="AD434" s="7"/>
      <c r="AE434" s="7"/>
      <c r="AF434" s="7"/>
      <c r="AG434" s="7"/>
      <c r="AH434" s="7"/>
      <c r="AI434" s="7"/>
      <c r="AJ434" s="10" t="s">
        <v>2349</v>
      </c>
      <c r="AK434" s="7"/>
      <c r="AL434" s="9"/>
      <c r="AM434" s="7" t="s">
        <v>71</v>
      </c>
      <c r="AN434" s="7" t="s">
        <v>71</v>
      </c>
      <c r="AO434" s="7"/>
    </row>
    <row r="435" spans="1:41" s="11" customFormat="1" x14ac:dyDescent="0.25">
      <c r="A435" s="2">
        <v>434</v>
      </c>
      <c r="B435" s="7" t="s">
        <v>379</v>
      </c>
      <c r="C435" s="7" t="s">
        <v>78</v>
      </c>
      <c r="D435" s="7">
        <v>4</v>
      </c>
      <c r="E435" s="7">
        <v>4</v>
      </c>
      <c r="F435" s="8">
        <v>1</v>
      </c>
      <c r="G435" s="8">
        <v>1</v>
      </c>
      <c r="H435" s="7">
        <v>1</v>
      </c>
      <c r="I435" s="7">
        <v>1</v>
      </c>
      <c r="J435" s="9" t="s">
        <v>35</v>
      </c>
      <c r="K435" s="7">
        <v>1</v>
      </c>
      <c r="L435" s="7" t="s">
        <v>52</v>
      </c>
      <c r="M435" s="7">
        <f t="shared" si="30"/>
        <v>1</v>
      </c>
      <c r="N435" s="9" t="s">
        <v>36</v>
      </c>
      <c r="O435" s="7">
        <v>0</v>
      </c>
      <c r="P435" s="9" t="s">
        <v>63</v>
      </c>
      <c r="Q435" s="7" t="s">
        <v>38</v>
      </c>
      <c r="R435" s="7" t="s">
        <v>38</v>
      </c>
      <c r="S435" s="7"/>
      <c r="T435" s="7">
        <v>9</v>
      </c>
      <c r="U435" s="7">
        <v>9</v>
      </c>
      <c r="V435" s="7">
        <v>70</v>
      </c>
      <c r="W435" s="7" t="s">
        <v>88</v>
      </c>
      <c r="X435" s="7"/>
      <c r="Y435" s="7"/>
      <c r="Z435" s="7"/>
      <c r="AA435" s="7"/>
      <c r="AB435" s="7">
        <f t="shared" si="33"/>
        <v>3</v>
      </c>
      <c r="AC435" s="7">
        <f t="shared" si="31"/>
        <v>3</v>
      </c>
      <c r="AD435" s="7"/>
      <c r="AE435" s="7"/>
      <c r="AF435" s="7"/>
      <c r="AG435" s="7"/>
      <c r="AH435" s="7"/>
      <c r="AI435" s="7"/>
      <c r="AJ435" s="7"/>
      <c r="AK435" s="10" t="s">
        <v>2437</v>
      </c>
      <c r="AL435" s="9"/>
      <c r="AM435" s="7" t="s">
        <v>42</v>
      </c>
      <c r="AN435" s="7" t="s">
        <v>42</v>
      </c>
      <c r="AO435" s="7"/>
    </row>
    <row r="436" spans="1:41" s="11" customFormat="1" ht="24" x14ac:dyDescent="0.25">
      <c r="A436" s="2">
        <v>435</v>
      </c>
      <c r="B436" s="7" t="s">
        <v>379</v>
      </c>
      <c r="C436" s="7" t="s">
        <v>100</v>
      </c>
      <c r="D436" s="7">
        <v>21</v>
      </c>
      <c r="E436" s="7">
        <v>21</v>
      </c>
      <c r="F436" s="8">
        <v>1</v>
      </c>
      <c r="G436" s="8">
        <v>2</v>
      </c>
      <c r="H436" s="7">
        <v>2</v>
      </c>
      <c r="I436" s="7">
        <v>2</v>
      </c>
      <c r="J436" s="9" t="s">
        <v>35</v>
      </c>
      <c r="K436" s="7">
        <v>1</v>
      </c>
      <c r="L436" s="7" t="s">
        <v>52</v>
      </c>
      <c r="M436" s="7">
        <f t="shared" si="30"/>
        <v>1</v>
      </c>
      <c r="N436" s="9" t="s">
        <v>34</v>
      </c>
      <c r="O436" s="7">
        <v>0</v>
      </c>
      <c r="P436" s="9" t="s">
        <v>33</v>
      </c>
      <c r="Q436" s="7" t="s">
        <v>38</v>
      </c>
      <c r="R436" s="7" t="s">
        <v>38</v>
      </c>
      <c r="S436" s="7"/>
      <c r="T436" s="7"/>
      <c r="U436" s="7"/>
      <c r="V436" s="7"/>
      <c r="W436" s="7"/>
      <c r="X436" s="7">
        <v>5</v>
      </c>
      <c r="Y436" s="7"/>
      <c r="Z436" s="7"/>
      <c r="AA436" s="7"/>
      <c r="AB436" s="7">
        <f t="shared" si="33"/>
        <v>1.6666666666666667</v>
      </c>
      <c r="AC436" s="7">
        <f t="shared" si="31"/>
        <v>1.6666666666666667</v>
      </c>
      <c r="AD436" s="7"/>
      <c r="AE436" s="7">
        <v>1</v>
      </c>
      <c r="AF436" s="7"/>
      <c r="AG436" s="7" t="s">
        <v>413</v>
      </c>
      <c r="AH436" s="7" t="s">
        <v>38</v>
      </c>
      <c r="AI436" s="7"/>
      <c r="AJ436" s="7"/>
      <c r="AK436" s="7"/>
      <c r="AL436" s="9"/>
      <c r="AM436" s="7" t="s">
        <v>42</v>
      </c>
      <c r="AN436" s="7" t="s">
        <v>42</v>
      </c>
      <c r="AO436" s="7"/>
    </row>
    <row r="437" spans="1:41" s="11" customFormat="1" x14ac:dyDescent="0.25">
      <c r="A437" s="2">
        <v>436</v>
      </c>
      <c r="B437" s="7" t="s">
        <v>379</v>
      </c>
      <c r="C437" s="7" t="s">
        <v>100</v>
      </c>
      <c r="D437" s="7">
        <v>6</v>
      </c>
      <c r="E437" s="7">
        <v>6</v>
      </c>
      <c r="F437" s="8">
        <v>1</v>
      </c>
      <c r="G437" s="8">
        <v>1</v>
      </c>
      <c r="H437" s="7">
        <v>1</v>
      </c>
      <c r="I437" s="7">
        <v>1</v>
      </c>
      <c r="J437" s="9" t="s">
        <v>35</v>
      </c>
      <c r="K437" s="7">
        <v>1</v>
      </c>
      <c r="L437" s="7" t="s">
        <v>52</v>
      </c>
      <c r="M437" s="7">
        <f t="shared" si="30"/>
        <v>1</v>
      </c>
      <c r="N437" s="9" t="s">
        <v>36</v>
      </c>
      <c r="O437" s="7">
        <v>0</v>
      </c>
      <c r="P437" s="9" t="s">
        <v>37</v>
      </c>
      <c r="Q437" s="7" t="s">
        <v>38</v>
      </c>
      <c r="R437" s="7" t="s">
        <v>38</v>
      </c>
      <c r="S437" s="10" t="s">
        <v>1752</v>
      </c>
      <c r="T437" s="7"/>
      <c r="U437" s="7"/>
      <c r="V437" s="7"/>
      <c r="W437" s="7"/>
      <c r="X437" s="7">
        <v>3</v>
      </c>
      <c r="Y437" s="7"/>
      <c r="Z437" s="7"/>
      <c r="AA437" s="7"/>
      <c r="AB437" s="7">
        <f t="shared" si="33"/>
        <v>1</v>
      </c>
      <c r="AC437" s="7">
        <f t="shared" si="31"/>
        <v>1</v>
      </c>
      <c r="AD437" s="7"/>
      <c r="AE437" s="7">
        <v>1</v>
      </c>
      <c r="AF437" s="7"/>
      <c r="AG437" s="7"/>
      <c r="AH437" s="7" t="s">
        <v>38</v>
      </c>
      <c r="AI437" s="7"/>
      <c r="AJ437" s="7"/>
      <c r="AK437" s="7"/>
      <c r="AL437" s="9"/>
      <c r="AM437" s="7" t="s">
        <v>71</v>
      </c>
      <c r="AN437" s="7" t="s">
        <v>71</v>
      </c>
      <c r="AO437" s="7"/>
    </row>
    <row r="438" spans="1:41" s="11" customFormat="1" x14ac:dyDescent="0.25">
      <c r="A438" s="2">
        <v>437</v>
      </c>
      <c r="B438" s="7" t="s">
        <v>379</v>
      </c>
      <c r="C438" s="7" t="s">
        <v>100</v>
      </c>
      <c r="D438" s="7">
        <v>11</v>
      </c>
      <c r="E438" s="7">
        <v>11</v>
      </c>
      <c r="F438" s="8">
        <v>1</v>
      </c>
      <c r="G438" s="8">
        <v>1</v>
      </c>
      <c r="H438" s="7">
        <v>1</v>
      </c>
      <c r="I438" s="7">
        <v>1</v>
      </c>
      <c r="J438" s="9" t="s">
        <v>35</v>
      </c>
      <c r="K438" s="7">
        <v>1</v>
      </c>
      <c r="L438" s="7" t="s">
        <v>52</v>
      </c>
      <c r="M438" s="7">
        <f t="shared" si="30"/>
        <v>1</v>
      </c>
      <c r="N438" s="9" t="s">
        <v>34</v>
      </c>
      <c r="O438" s="7">
        <v>0</v>
      </c>
      <c r="P438" s="9" t="s">
        <v>63</v>
      </c>
      <c r="Q438" s="7" t="s">
        <v>52</v>
      </c>
      <c r="R438" s="7" t="s">
        <v>38</v>
      </c>
      <c r="S438" s="10" t="s">
        <v>1693</v>
      </c>
      <c r="T438" s="7"/>
      <c r="U438" s="7"/>
      <c r="V438" s="7"/>
      <c r="W438" s="7"/>
      <c r="X438" s="7">
        <v>3</v>
      </c>
      <c r="Y438" s="7"/>
      <c r="Z438" s="7"/>
      <c r="AA438" s="7"/>
      <c r="AB438" s="7">
        <f t="shared" si="33"/>
        <v>1</v>
      </c>
      <c r="AC438" s="7">
        <f t="shared" si="31"/>
        <v>1</v>
      </c>
      <c r="AD438" s="7"/>
      <c r="AE438" s="7">
        <v>1</v>
      </c>
      <c r="AF438" s="7"/>
      <c r="AG438" s="7"/>
      <c r="AH438" s="7" t="s">
        <v>38</v>
      </c>
      <c r="AI438" s="7"/>
      <c r="AJ438" s="7"/>
      <c r="AK438" s="7"/>
      <c r="AL438" s="9"/>
      <c r="AM438" s="7" t="s">
        <v>71</v>
      </c>
      <c r="AN438" s="7" t="s">
        <v>71</v>
      </c>
      <c r="AO438" s="7"/>
    </row>
    <row r="439" spans="1:41" s="11" customFormat="1" x14ac:dyDescent="0.25">
      <c r="A439" s="2">
        <v>438</v>
      </c>
      <c r="B439" s="7" t="s">
        <v>379</v>
      </c>
      <c r="C439" s="7" t="s">
        <v>100</v>
      </c>
      <c r="D439" s="7">
        <v>20</v>
      </c>
      <c r="E439" s="7">
        <v>20</v>
      </c>
      <c r="F439" s="8">
        <v>1</v>
      </c>
      <c r="G439" s="8">
        <v>1</v>
      </c>
      <c r="H439" s="7">
        <v>1</v>
      </c>
      <c r="I439" s="7">
        <v>1</v>
      </c>
      <c r="J439" s="9" t="s">
        <v>35</v>
      </c>
      <c r="K439" s="7">
        <v>1</v>
      </c>
      <c r="L439" s="7" t="s">
        <v>52</v>
      </c>
      <c r="M439" s="7">
        <f t="shared" si="30"/>
        <v>1</v>
      </c>
      <c r="N439" s="9" t="s">
        <v>34</v>
      </c>
      <c r="O439" s="7">
        <v>1</v>
      </c>
      <c r="P439" s="9" t="s">
        <v>33</v>
      </c>
      <c r="Q439" s="7" t="s">
        <v>38</v>
      </c>
      <c r="R439" s="7" t="s">
        <v>38</v>
      </c>
      <c r="S439" s="10" t="s">
        <v>1753</v>
      </c>
      <c r="T439" s="7"/>
      <c r="U439" s="7"/>
      <c r="V439" s="7"/>
      <c r="W439" s="7"/>
      <c r="X439" s="7">
        <v>3</v>
      </c>
      <c r="Y439" s="7"/>
      <c r="Z439" s="7"/>
      <c r="AA439" s="7"/>
      <c r="AB439" s="7">
        <f t="shared" si="33"/>
        <v>1</v>
      </c>
      <c r="AC439" s="7">
        <f t="shared" si="31"/>
        <v>1</v>
      </c>
      <c r="AD439" s="7"/>
      <c r="AE439" s="7"/>
      <c r="AF439" s="7"/>
      <c r="AG439" s="7"/>
      <c r="AH439" s="7"/>
      <c r="AI439" s="7"/>
      <c r="AJ439" s="7"/>
      <c r="AK439" s="7"/>
      <c r="AL439" s="9"/>
      <c r="AM439" s="7" t="s">
        <v>71</v>
      </c>
      <c r="AN439" s="7" t="s">
        <v>71</v>
      </c>
      <c r="AO439" s="12"/>
    </row>
    <row r="440" spans="1:41" s="11" customFormat="1" x14ac:dyDescent="0.25">
      <c r="A440" s="2">
        <v>439</v>
      </c>
      <c r="B440" s="7" t="s">
        <v>379</v>
      </c>
      <c r="C440" s="7" t="s">
        <v>100</v>
      </c>
      <c r="D440" s="7">
        <v>16</v>
      </c>
      <c r="E440" s="7">
        <v>16</v>
      </c>
      <c r="F440" s="8">
        <v>1</v>
      </c>
      <c r="G440" s="8">
        <v>1</v>
      </c>
      <c r="H440" s="7">
        <v>1</v>
      </c>
      <c r="I440" s="7">
        <v>1</v>
      </c>
      <c r="J440" s="9" t="s">
        <v>70</v>
      </c>
      <c r="K440" s="7">
        <v>1</v>
      </c>
      <c r="L440" s="7" t="s">
        <v>52</v>
      </c>
      <c r="M440" s="7">
        <f t="shared" si="30"/>
        <v>1</v>
      </c>
      <c r="N440" s="9" t="s">
        <v>34</v>
      </c>
      <c r="O440" s="7">
        <v>1</v>
      </c>
      <c r="P440" s="9" t="s">
        <v>33</v>
      </c>
      <c r="Q440" s="7" t="s">
        <v>52</v>
      </c>
      <c r="R440" s="7" t="s">
        <v>38</v>
      </c>
      <c r="S440" s="10" t="s">
        <v>1754</v>
      </c>
      <c r="T440" s="7"/>
      <c r="U440" s="7"/>
      <c r="V440" s="7"/>
      <c r="W440" s="7"/>
      <c r="X440" s="7">
        <v>3</v>
      </c>
      <c r="Y440" s="7"/>
      <c r="Z440" s="7"/>
      <c r="AA440" s="7"/>
      <c r="AB440" s="7">
        <f t="shared" si="33"/>
        <v>1</v>
      </c>
      <c r="AC440" s="7">
        <f t="shared" si="31"/>
        <v>1</v>
      </c>
      <c r="AD440" s="7"/>
      <c r="AE440" s="7"/>
      <c r="AF440" s="7"/>
      <c r="AG440" s="7"/>
      <c r="AH440" s="7"/>
      <c r="AI440" s="7"/>
      <c r="AJ440" s="7"/>
      <c r="AK440" s="7"/>
      <c r="AL440" s="9"/>
      <c r="AM440" s="7" t="s">
        <v>71</v>
      </c>
      <c r="AN440" s="7" t="s">
        <v>71</v>
      </c>
      <c r="AO440" s="7"/>
    </row>
    <row r="441" spans="1:41" s="11" customFormat="1" x14ac:dyDescent="0.25">
      <c r="A441" s="2">
        <v>440</v>
      </c>
      <c r="B441" s="7" t="s">
        <v>379</v>
      </c>
      <c r="C441" s="7" t="s">
        <v>89</v>
      </c>
      <c r="D441" s="7" t="s">
        <v>130</v>
      </c>
      <c r="E441" s="7">
        <v>9</v>
      </c>
      <c r="F441" s="8">
        <v>2</v>
      </c>
      <c r="G441" s="8">
        <v>2</v>
      </c>
      <c r="H441" s="7" t="s">
        <v>87</v>
      </c>
      <c r="I441" s="7">
        <v>2</v>
      </c>
      <c r="J441" s="9" t="s">
        <v>35</v>
      </c>
      <c r="K441" s="7">
        <v>2</v>
      </c>
      <c r="L441" s="7" t="s">
        <v>52</v>
      </c>
      <c r="M441" s="7">
        <f t="shared" si="30"/>
        <v>2</v>
      </c>
      <c r="N441" s="9" t="s">
        <v>34</v>
      </c>
      <c r="O441" s="7">
        <v>0</v>
      </c>
      <c r="P441" s="9" t="s">
        <v>33</v>
      </c>
      <c r="Q441" s="7" t="s">
        <v>38</v>
      </c>
      <c r="R441" s="7" t="s">
        <v>38</v>
      </c>
      <c r="S441" s="7"/>
      <c r="T441" s="7"/>
      <c r="U441" s="7"/>
      <c r="V441" s="7"/>
      <c r="W441" s="7"/>
      <c r="X441" s="7">
        <v>3</v>
      </c>
      <c r="Y441" s="7"/>
      <c r="Z441" s="7"/>
      <c r="AA441" s="7"/>
      <c r="AB441" s="7">
        <f t="shared" si="33"/>
        <v>1</v>
      </c>
      <c r="AC441" s="7">
        <f t="shared" si="31"/>
        <v>1</v>
      </c>
      <c r="AD441" s="7"/>
      <c r="AE441" s="7"/>
      <c r="AF441" s="7"/>
      <c r="AG441" s="7"/>
      <c r="AH441" s="7"/>
      <c r="AI441" s="7"/>
      <c r="AJ441" s="7"/>
      <c r="AK441" s="10" t="s">
        <v>2440</v>
      </c>
      <c r="AL441" s="9"/>
      <c r="AM441" s="7" t="s">
        <v>71</v>
      </c>
      <c r="AN441" s="7" t="s">
        <v>71</v>
      </c>
      <c r="AO441" s="12"/>
    </row>
    <row r="442" spans="1:41" s="11" customFormat="1" x14ac:dyDescent="0.25">
      <c r="A442" s="2">
        <v>441</v>
      </c>
      <c r="B442" s="7" t="s">
        <v>379</v>
      </c>
      <c r="C442" s="7" t="s">
        <v>89</v>
      </c>
      <c r="D442" s="7" t="s">
        <v>110</v>
      </c>
      <c r="E442" s="7">
        <v>7</v>
      </c>
      <c r="F442" s="8">
        <v>2</v>
      </c>
      <c r="G442" s="8">
        <v>2</v>
      </c>
      <c r="H442" s="7" t="s">
        <v>87</v>
      </c>
      <c r="I442" s="7">
        <v>2</v>
      </c>
      <c r="J442" s="9" t="s">
        <v>35</v>
      </c>
      <c r="K442" s="7">
        <v>1</v>
      </c>
      <c r="L442" s="7" t="s">
        <v>52</v>
      </c>
      <c r="M442" s="7">
        <f t="shared" si="30"/>
        <v>2</v>
      </c>
      <c r="N442" s="9" t="s">
        <v>36</v>
      </c>
      <c r="O442" s="7">
        <v>0</v>
      </c>
      <c r="P442" s="9" t="s">
        <v>63</v>
      </c>
      <c r="Q442" s="7" t="s">
        <v>38</v>
      </c>
      <c r="R442" s="7" t="s">
        <v>38</v>
      </c>
      <c r="S442" s="7"/>
      <c r="T442" s="7"/>
      <c r="U442" s="7"/>
      <c r="V442" s="7"/>
      <c r="W442" s="7"/>
      <c r="X442" s="7">
        <v>3</v>
      </c>
      <c r="Y442" s="7"/>
      <c r="Z442" s="7"/>
      <c r="AA442" s="7"/>
      <c r="AB442" s="7">
        <f t="shared" si="33"/>
        <v>1</v>
      </c>
      <c r="AC442" s="7">
        <f t="shared" si="31"/>
        <v>1</v>
      </c>
      <c r="AD442" s="7"/>
      <c r="AE442" s="7"/>
      <c r="AF442" s="7"/>
      <c r="AG442" s="7"/>
      <c r="AH442" s="7"/>
      <c r="AI442" s="7"/>
      <c r="AJ442" s="7"/>
      <c r="AK442" s="7"/>
      <c r="AL442" s="9"/>
      <c r="AM442" s="7" t="s">
        <v>71</v>
      </c>
      <c r="AN442" s="7" t="s">
        <v>71</v>
      </c>
      <c r="AO442" s="12"/>
    </row>
    <row r="443" spans="1:41" s="11" customFormat="1" x14ac:dyDescent="0.25">
      <c r="A443" s="2">
        <v>442</v>
      </c>
      <c r="B443" s="7" t="s">
        <v>379</v>
      </c>
      <c r="C443" s="7" t="s">
        <v>100</v>
      </c>
      <c r="D443" s="7">
        <v>12</v>
      </c>
      <c r="E443" s="7">
        <v>12</v>
      </c>
      <c r="F443" s="8">
        <v>1</v>
      </c>
      <c r="G443" s="8">
        <v>1</v>
      </c>
      <c r="H443" s="7">
        <v>1</v>
      </c>
      <c r="I443" s="7">
        <v>1</v>
      </c>
      <c r="J443" s="9" t="s">
        <v>35</v>
      </c>
      <c r="K443" s="7">
        <v>2</v>
      </c>
      <c r="L443" s="7" t="s">
        <v>52</v>
      </c>
      <c r="M443" s="7">
        <f t="shared" si="30"/>
        <v>1</v>
      </c>
      <c r="N443" s="9" t="s">
        <v>36</v>
      </c>
      <c r="O443" s="7">
        <v>0</v>
      </c>
      <c r="P443" s="9" t="s">
        <v>33</v>
      </c>
      <c r="Q443" s="7" t="s">
        <v>38</v>
      </c>
      <c r="R443" s="7" t="s">
        <v>38</v>
      </c>
      <c r="S443" s="10" t="s">
        <v>1589</v>
      </c>
      <c r="T443" s="7"/>
      <c r="U443" s="7"/>
      <c r="V443" s="7"/>
      <c r="W443" s="7"/>
      <c r="X443" s="7">
        <v>3</v>
      </c>
      <c r="Y443" s="7"/>
      <c r="Z443" s="7"/>
      <c r="AA443" s="7"/>
      <c r="AB443" s="7">
        <f t="shared" si="33"/>
        <v>1</v>
      </c>
      <c r="AC443" s="7">
        <f t="shared" si="31"/>
        <v>1</v>
      </c>
      <c r="AD443" s="7"/>
      <c r="AE443" s="7"/>
      <c r="AF443" s="7"/>
      <c r="AG443" s="7"/>
      <c r="AH443" s="7"/>
      <c r="AI443" s="7"/>
      <c r="AJ443" s="7"/>
      <c r="AK443" s="7"/>
      <c r="AL443" s="9"/>
      <c r="AM443" s="7" t="s">
        <v>71</v>
      </c>
      <c r="AN443" s="7" t="s">
        <v>71</v>
      </c>
      <c r="AO443" s="12"/>
    </row>
    <row r="444" spans="1:41" s="11" customFormat="1" x14ac:dyDescent="0.25">
      <c r="A444" s="2">
        <v>443</v>
      </c>
      <c r="B444" s="7" t="s">
        <v>379</v>
      </c>
      <c r="C444" s="7" t="s">
        <v>100</v>
      </c>
      <c r="D444" s="7">
        <v>6</v>
      </c>
      <c r="E444" s="7">
        <v>6</v>
      </c>
      <c r="F444" s="8">
        <v>1</v>
      </c>
      <c r="G444" s="8">
        <v>1</v>
      </c>
      <c r="H444" s="7">
        <v>1</v>
      </c>
      <c r="I444" s="7">
        <v>1</v>
      </c>
      <c r="J444" s="9" t="s">
        <v>35</v>
      </c>
      <c r="K444" s="7">
        <v>2</v>
      </c>
      <c r="L444" s="7" t="s">
        <v>52</v>
      </c>
      <c r="M444" s="7">
        <f t="shared" si="30"/>
        <v>1</v>
      </c>
      <c r="N444" s="9" t="s">
        <v>34</v>
      </c>
      <c r="O444" s="7">
        <v>0</v>
      </c>
      <c r="P444" s="9" t="s">
        <v>33</v>
      </c>
      <c r="Q444" s="7" t="s">
        <v>52</v>
      </c>
      <c r="R444" s="7" t="s">
        <v>38</v>
      </c>
      <c r="S444" s="10" t="s">
        <v>1755</v>
      </c>
      <c r="T444" s="7"/>
      <c r="U444" s="7"/>
      <c r="V444" s="7"/>
      <c r="W444" s="7"/>
      <c r="X444" s="7">
        <v>3</v>
      </c>
      <c r="Y444" s="7"/>
      <c r="Z444" s="7"/>
      <c r="AA444" s="7"/>
      <c r="AB444" s="7">
        <f t="shared" si="33"/>
        <v>1</v>
      </c>
      <c r="AC444" s="7">
        <f t="shared" si="31"/>
        <v>1</v>
      </c>
      <c r="AD444" s="7"/>
      <c r="AE444" s="7"/>
      <c r="AF444" s="7"/>
      <c r="AG444" s="7"/>
      <c r="AH444" s="7"/>
      <c r="AI444" s="7"/>
      <c r="AJ444" s="7"/>
      <c r="AK444" s="7"/>
      <c r="AL444" s="9"/>
      <c r="AM444" s="7" t="s">
        <v>71</v>
      </c>
      <c r="AN444" s="7" t="s">
        <v>71</v>
      </c>
      <c r="AO444" s="12"/>
    </row>
    <row r="445" spans="1:41" s="11" customFormat="1" x14ac:dyDescent="0.25">
      <c r="A445" s="2">
        <v>444</v>
      </c>
      <c r="B445" s="7" t="s">
        <v>379</v>
      </c>
      <c r="C445" s="7" t="s">
        <v>100</v>
      </c>
      <c r="D445" s="7">
        <v>2</v>
      </c>
      <c r="E445" s="7">
        <v>2</v>
      </c>
      <c r="F445" s="8">
        <v>1</v>
      </c>
      <c r="G445" s="8">
        <v>1</v>
      </c>
      <c r="H445" s="7">
        <v>1</v>
      </c>
      <c r="I445" s="7">
        <v>1</v>
      </c>
      <c r="J445" s="9" t="s">
        <v>35</v>
      </c>
      <c r="K445" s="7">
        <v>2</v>
      </c>
      <c r="L445" s="7" t="s">
        <v>52</v>
      </c>
      <c r="M445" s="7">
        <f t="shared" si="30"/>
        <v>1</v>
      </c>
      <c r="N445" s="9" t="s">
        <v>34</v>
      </c>
      <c r="O445" s="7">
        <v>0</v>
      </c>
      <c r="P445" s="9" t="s">
        <v>34</v>
      </c>
      <c r="Q445" s="7" t="s">
        <v>38</v>
      </c>
      <c r="R445" s="7" t="s">
        <v>38</v>
      </c>
      <c r="S445" s="10" t="s">
        <v>1756</v>
      </c>
      <c r="T445" s="7"/>
      <c r="U445" s="7"/>
      <c r="V445" s="7"/>
      <c r="W445" s="7"/>
      <c r="X445" s="7">
        <v>3</v>
      </c>
      <c r="Y445" s="7"/>
      <c r="Z445" s="7"/>
      <c r="AA445" s="7"/>
      <c r="AB445" s="7">
        <f t="shared" si="33"/>
        <v>1</v>
      </c>
      <c r="AC445" s="7">
        <f t="shared" si="31"/>
        <v>1</v>
      </c>
      <c r="AD445" s="7"/>
      <c r="AE445" s="7"/>
      <c r="AF445" s="7"/>
      <c r="AG445" s="7"/>
      <c r="AH445" s="7"/>
      <c r="AI445" s="7"/>
      <c r="AJ445" s="7"/>
      <c r="AK445" s="7"/>
      <c r="AL445" s="9"/>
      <c r="AM445" s="7" t="s">
        <v>71</v>
      </c>
      <c r="AN445" s="7" t="s">
        <v>71</v>
      </c>
      <c r="AO445" s="12"/>
    </row>
    <row r="446" spans="1:41" s="11" customFormat="1" ht="24" x14ac:dyDescent="0.25">
      <c r="A446" s="2">
        <v>445</v>
      </c>
      <c r="B446" s="7" t="s">
        <v>379</v>
      </c>
      <c r="C446" s="7" t="s">
        <v>100</v>
      </c>
      <c r="D446" s="7">
        <v>4</v>
      </c>
      <c r="E446" s="7">
        <v>4</v>
      </c>
      <c r="F446" s="8">
        <v>1</v>
      </c>
      <c r="G446" s="8">
        <v>1</v>
      </c>
      <c r="H446" s="7">
        <v>1</v>
      </c>
      <c r="I446" s="7">
        <v>1</v>
      </c>
      <c r="J446" s="9" t="s">
        <v>176</v>
      </c>
      <c r="K446" s="7">
        <v>11</v>
      </c>
      <c r="L446" s="7" t="s">
        <v>52</v>
      </c>
      <c r="M446" s="7">
        <f t="shared" si="30"/>
        <v>1</v>
      </c>
      <c r="N446" s="9" t="s">
        <v>177</v>
      </c>
      <c r="O446" s="7">
        <v>0</v>
      </c>
      <c r="P446" s="9" t="s">
        <v>63</v>
      </c>
      <c r="Q446" s="7" t="s">
        <v>38</v>
      </c>
      <c r="R446" s="7" t="s">
        <v>52</v>
      </c>
      <c r="S446" s="7" t="s">
        <v>274</v>
      </c>
      <c r="T446" s="7"/>
      <c r="U446" s="7"/>
      <c r="V446" s="7"/>
      <c r="W446" s="7"/>
      <c r="X446" s="7">
        <v>3</v>
      </c>
      <c r="Y446" s="7"/>
      <c r="Z446" s="7"/>
      <c r="AA446" s="7"/>
      <c r="AB446" s="7">
        <f t="shared" si="33"/>
        <v>1</v>
      </c>
      <c r="AC446" s="7">
        <f t="shared" si="31"/>
        <v>1</v>
      </c>
      <c r="AD446" s="7"/>
      <c r="AE446" s="7"/>
      <c r="AF446" s="7"/>
      <c r="AG446" s="7"/>
      <c r="AH446" s="7"/>
      <c r="AI446" s="7"/>
      <c r="AJ446" s="7"/>
      <c r="AK446" s="7"/>
      <c r="AL446" s="9"/>
      <c r="AM446" s="7" t="s">
        <v>71</v>
      </c>
      <c r="AN446" s="7" t="s">
        <v>71</v>
      </c>
      <c r="AO446" s="10" t="s">
        <v>2540</v>
      </c>
    </row>
    <row r="447" spans="1:41" s="11" customFormat="1" x14ac:dyDescent="0.25">
      <c r="A447" s="2">
        <v>446</v>
      </c>
      <c r="B447" s="7" t="s">
        <v>379</v>
      </c>
      <c r="C447" s="7" t="s">
        <v>100</v>
      </c>
      <c r="D447" s="7">
        <v>2</v>
      </c>
      <c r="E447" s="7">
        <v>2</v>
      </c>
      <c r="F447" s="8">
        <v>1</v>
      </c>
      <c r="G447" s="8">
        <v>1</v>
      </c>
      <c r="H447" s="7">
        <v>1</v>
      </c>
      <c r="I447" s="7">
        <v>1</v>
      </c>
      <c r="J447" s="9" t="s">
        <v>176</v>
      </c>
      <c r="K447" s="7">
        <v>11</v>
      </c>
      <c r="L447" s="7" t="s">
        <v>52</v>
      </c>
      <c r="M447" s="7">
        <f t="shared" si="30"/>
        <v>1</v>
      </c>
      <c r="N447" s="9" t="s">
        <v>177</v>
      </c>
      <c r="O447" s="7">
        <v>0</v>
      </c>
      <c r="P447" s="9" t="s">
        <v>63</v>
      </c>
      <c r="Q447" s="7" t="s">
        <v>38</v>
      </c>
      <c r="R447" s="7" t="s">
        <v>52</v>
      </c>
      <c r="S447" s="10" t="s">
        <v>414</v>
      </c>
      <c r="T447" s="7"/>
      <c r="U447" s="7"/>
      <c r="V447" s="7"/>
      <c r="W447" s="7"/>
      <c r="X447" s="7">
        <v>3</v>
      </c>
      <c r="Y447" s="7"/>
      <c r="Z447" s="7"/>
      <c r="AA447" s="7"/>
      <c r="AB447" s="7">
        <f t="shared" si="33"/>
        <v>1</v>
      </c>
      <c r="AC447" s="7">
        <f t="shared" si="31"/>
        <v>1</v>
      </c>
      <c r="AD447" s="7"/>
      <c r="AE447" s="7"/>
      <c r="AF447" s="7"/>
      <c r="AG447" s="7"/>
      <c r="AH447" s="7"/>
      <c r="AI447" s="7" t="s">
        <v>415</v>
      </c>
      <c r="AJ447" s="7"/>
      <c r="AK447" s="7"/>
      <c r="AL447" s="9"/>
      <c r="AM447" s="7" t="s">
        <v>71</v>
      </c>
      <c r="AN447" s="7" t="s">
        <v>71</v>
      </c>
      <c r="AO447" s="10" t="s">
        <v>2541</v>
      </c>
    </row>
    <row r="448" spans="1:41" s="11" customFormat="1" x14ac:dyDescent="0.25">
      <c r="A448" s="2">
        <v>447</v>
      </c>
      <c r="B448" s="7" t="s">
        <v>379</v>
      </c>
      <c r="C448" s="7" t="s">
        <v>50</v>
      </c>
      <c r="D448" s="7">
        <v>4</v>
      </c>
      <c r="E448" s="7">
        <v>4</v>
      </c>
      <c r="F448" s="8">
        <v>1</v>
      </c>
      <c r="G448" s="8">
        <v>1</v>
      </c>
      <c r="H448" s="7">
        <v>1</v>
      </c>
      <c r="I448" s="7">
        <v>1</v>
      </c>
      <c r="J448" s="9" t="s">
        <v>176</v>
      </c>
      <c r="K448" s="7">
        <v>11</v>
      </c>
      <c r="L448" s="7" t="s">
        <v>52</v>
      </c>
      <c r="M448" s="7">
        <f t="shared" si="30"/>
        <v>1</v>
      </c>
      <c r="N448" s="9" t="s">
        <v>109</v>
      </c>
      <c r="O448" s="7">
        <v>0</v>
      </c>
      <c r="P448" s="9" t="s">
        <v>63</v>
      </c>
      <c r="Q448" s="7" t="s">
        <v>38</v>
      </c>
      <c r="R448" s="7"/>
      <c r="S448" s="7" t="s">
        <v>416</v>
      </c>
      <c r="T448" s="7"/>
      <c r="U448" s="7"/>
      <c r="V448" s="7"/>
      <c r="W448" s="7"/>
      <c r="X448" s="7">
        <v>3</v>
      </c>
      <c r="Y448" s="7"/>
      <c r="Z448" s="7"/>
      <c r="AA448" s="7"/>
      <c r="AB448" s="7">
        <f t="shared" si="33"/>
        <v>1</v>
      </c>
      <c r="AC448" s="7">
        <f t="shared" si="31"/>
        <v>1</v>
      </c>
      <c r="AD448" s="7"/>
      <c r="AE448" s="7"/>
      <c r="AF448" s="7"/>
      <c r="AG448" s="7"/>
      <c r="AH448" s="7"/>
      <c r="AI448" s="7"/>
      <c r="AJ448" s="7"/>
      <c r="AK448" s="7"/>
      <c r="AL448" s="9"/>
      <c r="AM448" s="7" t="s">
        <v>71</v>
      </c>
      <c r="AN448" s="7" t="s">
        <v>71</v>
      </c>
      <c r="AO448" s="12"/>
    </row>
    <row r="449" spans="1:41" s="11" customFormat="1" x14ac:dyDescent="0.25">
      <c r="A449" s="2">
        <v>448</v>
      </c>
      <c r="B449" s="7" t="s">
        <v>379</v>
      </c>
      <c r="C449" s="7" t="s">
        <v>119</v>
      </c>
      <c r="D449" s="7">
        <v>106</v>
      </c>
      <c r="E449" s="7">
        <v>106</v>
      </c>
      <c r="F449" s="8">
        <v>1</v>
      </c>
      <c r="G449" s="8">
        <v>1</v>
      </c>
      <c r="H449" s="7">
        <v>1</v>
      </c>
      <c r="I449" s="7">
        <v>1</v>
      </c>
      <c r="J449" s="9" t="s">
        <v>219</v>
      </c>
      <c r="K449" s="7">
        <v>1</v>
      </c>
      <c r="L449" s="7" t="s">
        <v>52</v>
      </c>
      <c r="M449" s="7">
        <f t="shared" si="30"/>
        <v>1</v>
      </c>
      <c r="N449" s="9" t="s">
        <v>34</v>
      </c>
      <c r="O449" s="7">
        <v>0</v>
      </c>
      <c r="P449" s="9" t="s">
        <v>34</v>
      </c>
      <c r="Q449" s="7"/>
      <c r="R449" s="7" t="s">
        <v>38</v>
      </c>
      <c r="S449" s="10" t="s">
        <v>1757</v>
      </c>
      <c r="T449" s="7"/>
      <c r="U449" s="7"/>
      <c r="V449" s="7"/>
      <c r="W449" s="7"/>
      <c r="X449" s="7"/>
      <c r="Y449" s="7"/>
      <c r="Z449" s="7"/>
      <c r="AA449" s="7"/>
      <c r="AB449" s="7">
        <v>0.33333333333333298</v>
      </c>
      <c r="AC449" s="7">
        <f t="shared" si="31"/>
        <v>0.33333333333333298</v>
      </c>
      <c r="AD449" s="7">
        <v>1</v>
      </c>
      <c r="AE449" s="7"/>
      <c r="AF449" s="7" t="s">
        <v>40</v>
      </c>
      <c r="AG449" s="7" t="s">
        <v>417</v>
      </c>
      <c r="AH449" s="7"/>
      <c r="AI449" s="7"/>
      <c r="AJ449" s="7"/>
      <c r="AK449" s="7"/>
      <c r="AL449" s="9"/>
      <c r="AM449" s="7" t="s">
        <v>71</v>
      </c>
      <c r="AN449" s="7" t="s">
        <v>71</v>
      </c>
      <c r="AO449" s="7"/>
    </row>
    <row r="450" spans="1:41" s="11" customFormat="1" x14ac:dyDescent="0.25">
      <c r="A450" s="2">
        <v>449</v>
      </c>
      <c r="B450" s="7" t="s">
        <v>379</v>
      </c>
      <c r="C450" s="7" t="s">
        <v>100</v>
      </c>
      <c r="D450" s="7">
        <v>11</v>
      </c>
      <c r="E450" s="7">
        <v>11</v>
      </c>
      <c r="F450" s="8">
        <v>1</v>
      </c>
      <c r="G450" s="8">
        <v>1</v>
      </c>
      <c r="H450" s="7">
        <v>1</v>
      </c>
      <c r="I450" s="7">
        <v>1</v>
      </c>
      <c r="J450" s="9" t="s">
        <v>219</v>
      </c>
      <c r="K450" s="7">
        <v>1</v>
      </c>
      <c r="L450" s="7" t="s">
        <v>52</v>
      </c>
      <c r="M450" s="7">
        <f t="shared" ref="M450:M513" si="34">IF(L450="n",F450,0)</f>
        <v>1</v>
      </c>
      <c r="N450" s="9" t="s">
        <v>82</v>
      </c>
      <c r="O450" s="7">
        <v>0</v>
      </c>
      <c r="P450" s="9" t="s">
        <v>36</v>
      </c>
      <c r="Q450" s="7" t="s">
        <v>38</v>
      </c>
      <c r="R450" s="7" t="s">
        <v>38</v>
      </c>
      <c r="S450" s="10" t="s">
        <v>1758</v>
      </c>
      <c r="T450" s="7"/>
      <c r="U450" s="7"/>
      <c r="V450" s="7"/>
      <c r="W450" s="7"/>
      <c r="X450" s="7">
        <v>3</v>
      </c>
      <c r="Y450" s="7"/>
      <c r="Z450" s="7"/>
      <c r="AA450" s="7"/>
      <c r="AB450" s="7">
        <f t="shared" ref="AB450:AB488" si="35">(U450+X450+Z450)/3</f>
        <v>1</v>
      </c>
      <c r="AC450" s="7">
        <f t="shared" ref="AC450:AC513" si="36">IF(L450="n",AB450,0)</f>
        <v>1</v>
      </c>
      <c r="AD450" s="7"/>
      <c r="AE450" s="7"/>
      <c r="AF450" s="7"/>
      <c r="AG450" s="7"/>
      <c r="AH450" s="7"/>
      <c r="AI450" s="7"/>
      <c r="AJ450" s="7"/>
      <c r="AK450" s="7"/>
      <c r="AL450" s="9"/>
      <c r="AM450" s="7" t="s">
        <v>71</v>
      </c>
      <c r="AN450" s="7" t="s">
        <v>71</v>
      </c>
      <c r="AO450" s="12"/>
    </row>
    <row r="451" spans="1:41" s="11" customFormat="1" x14ac:dyDescent="0.25">
      <c r="A451" s="2">
        <v>450</v>
      </c>
      <c r="B451" s="7" t="s">
        <v>379</v>
      </c>
      <c r="C451" s="7" t="s">
        <v>100</v>
      </c>
      <c r="D451" s="7">
        <v>9</v>
      </c>
      <c r="E451" s="7">
        <v>9</v>
      </c>
      <c r="F451" s="8">
        <v>1</v>
      </c>
      <c r="G451" s="8">
        <v>1</v>
      </c>
      <c r="H451" s="7">
        <v>1</v>
      </c>
      <c r="I451" s="7">
        <v>1</v>
      </c>
      <c r="J451" s="9" t="s">
        <v>219</v>
      </c>
      <c r="K451" s="7">
        <v>1</v>
      </c>
      <c r="L451" s="7" t="s">
        <v>52</v>
      </c>
      <c r="M451" s="7">
        <f t="shared" si="34"/>
        <v>1</v>
      </c>
      <c r="N451" s="9" t="s">
        <v>34</v>
      </c>
      <c r="O451" s="7">
        <v>0</v>
      </c>
      <c r="P451" s="9" t="s">
        <v>63</v>
      </c>
      <c r="Q451" s="7" t="s">
        <v>38</v>
      </c>
      <c r="R451" s="7" t="s">
        <v>38</v>
      </c>
      <c r="S451" s="10" t="s">
        <v>1537</v>
      </c>
      <c r="T451" s="7"/>
      <c r="U451" s="7"/>
      <c r="V451" s="7"/>
      <c r="W451" s="7"/>
      <c r="X451" s="7">
        <v>3</v>
      </c>
      <c r="Y451" s="7"/>
      <c r="Z451" s="7"/>
      <c r="AA451" s="7"/>
      <c r="AB451" s="7">
        <f t="shared" si="35"/>
        <v>1</v>
      </c>
      <c r="AC451" s="7">
        <f t="shared" si="36"/>
        <v>1</v>
      </c>
      <c r="AD451" s="7"/>
      <c r="AE451" s="7"/>
      <c r="AF451" s="7"/>
      <c r="AG451" s="7"/>
      <c r="AH451" s="7"/>
      <c r="AI451" s="7"/>
      <c r="AJ451" s="7"/>
      <c r="AK451" s="7"/>
      <c r="AL451" s="9"/>
      <c r="AM451" s="7" t="s">
        <v>71</v>
      </c>
      <c r="AN451" s="7" t="s">
        <v>71</v>
      </c>
      <c r="AO451" s="12"/>
    </row>
    <row r="452" spans="1:41" s="11" customFormat="1" x14ac:dyDescent="0.25">
      <c r="A452" s="2">
        <v>451</v>
      </c>
      <c r="B452" s="7" t="s">
        <v>379</v>
      </c>
      <c r="C452" s="7" t="s">
        <v>100</v>
      </c>
      <c r="D452" s="7">
        <v>7</v>
      </c>
      <c r="E452" s="7">
        <v>7</v>
      </c>
      <c r="F452" s="8">
        <v>1</v>
      </c>
      <c r="G452" s="8">
        <v>1</v>
      </c>
      <c r="H452" s="7">
        <v>1</v>
      </c>
      <c r="I452" s="7">
        <v>1</v>
      </c>
      <c r="J452" s="9" t="s">
        <v>219</v>
      </c>
      <c r="K452" s="7">
        <v>6</v>
      </c>
      <c r="L452" s="7" t="s">
        <v>52</v>
      </c>
      <c r="M452" s="7">
        <f t="shared" si="34"/>
        <v>1</v>
      </c>
      <c r="N452" s="9" t="s">
        <v>82</v>
      </c>
      <c r="O452" s="7">
        <v>0</v>
      </c>
      <c r="P452" s="9" t="s">
        <v>34</v>
      </c>
      <c r="Q452" s="7" t="s">
        <v>52</v>
      </c>
      <c r="R452" s="7" t="s">
        <v>38</v>
      </c>
      <c r="S452" s="10" t="s">
        <v>1527</v>
      </c>
      <c r="T452" s="7"/>
      <c r="U452" s="7"/>
      <c r="V452" s="7"/>
      <c r="W452" s="7"/>
      <c r="X452" s="7">
        <v>3</v>
      </c>
      <c r="Y452" s="7"/>
      <c r="Z452" s="7"/>
      <c r="AA452" s="7"/>
      <c r="AB452" s="7">
        <f t="shared" si="35"/>
        <v>1</v>
      </c>
      <c r="AC452" s="7">
        <f t="shared" si="36"/>
        <v>1</v>
      </c>
      <c r="AD452" s="7"/>
      <c r="AE452" s="7"/>
      <c r="AF452" s="7"/>
      <c r="AG452" s="7"/>
      <c r="AH452" s="7"/>
      <c r="AI452" s="7"/>
      <c r="AJ452" s="7"/>
      <c r="AK452" s="7"/>
      <c r="AL452" s="9"/>
      <c r="AM452" s="7" t="s">
        <v>71</v>
      </c>
      <c r="AN452" s="7" t="s">
        <v>71</v>
      </c>
      <c r="AO452" s="12"/>
    </row>
    <row r="453" spans="1:41" s="11" customFormat="1" x14ac:dyDescent="0.25">
      <c r="A453" s="2">
        <v>452</v>
      </c>
      <c r="B453" s="7" t="s">
        <v>379</v>
      </c>
      <c r="C453" s="7" t="s">
        <v>100</v>
      </c>
      <c r="D453" s="7">
        <v>30</v>
      </c>
      <c r="E453" s="7">
        <v>30</v>
      </c>
      <c r="F453" s="8">
        <v>1</v>
      </c>
      <c r="G453" s="8">
        <v>1</v>
      </c>
      <c r="H453" s="7">
        <v>1</v>
      </c>
      <c r="I453" s="7">
        <v>1</v>
      </c>
      <c r="J453" s="9" t="s">
        <v>219</v>
      </c>
      <c r="K453" s="7">
        <v>6</v>
      </c>
      <c r="L453" s="7" t="s">
        <v>52</v>
      </c>
      <c r="M453" s="7">
        <f t="shared" si="34"/>
        <v>1</v>
      </c>
      <c r="N453" s="9" t="s">
        <v>82</v>
      </c>
      <c r="O453" s="7">
        <v>0</v>
      </c>
      <c r="P453" s="9" t="s">
        <v>36</v>
      </c>
      <c r="Q453" s="7" t="s">
        <v>52</v>
      </c>
      <c r="R453" s="7" t="s">
        <v>38</v>
      </c>
      <c r="S453" s="10" t="s">
        <v>1759</v>
      </c>
      <c r="T453" s="7"/>
      <c r="U453" s="7"/>
      <c r="V453" s="7"/>
      <c r="W453" s="7"/>
      <c r="X453" s="7">
        <v>3</v>
      </c>
      <c r="Y453" s="7"/>
      <c r="Z453" s="7"/>
      <c r="AA453" s="7"/>
      <c r="AB453" s="7">
        <f t="shared" si="35"/>
        <v>1</v>
      </c>
      <c r="AC453" s="7">
        <f t="shared" si="36"/>
        <v>1</v>
      </c>
      <c r="AD453" s="7"/>
      <c r="AE453" s="7"/>
      <c r="AF453" s="7"/>
      <c r="AG453" s="7"/>
      <c r="AH453" s="7"/>
      <c r="AI453" s="7"/>
      <c r="AJ453" s="7"/>
      <c r="AK453" s="7"/>
      <c r="AL453" s="9"/>
      <c r="AM453" s="7" t="s">
        <v>71</v>
      </c>
      <c r="AN453" s="7" t="s">
        <v>71</v>
      </c>
      <c r="AO453" s="12"/>
    </row>
    <row r="454" spans="1:41" s="11" customFormat="1" x14ac:dyDescent="0.25">
      <c r="A454" s="2">
        <v>453</v>
      </c>
      <c r="B454" s="7" t="s">
        <v>379</v>
      </c>
      <c r="C454" s="7" t="s">
        <v>104</v>
      </c>
      <c r="D454" s="7">
        <v>26</v>
      </c>
      <c r="E454" s="7">
        <v>26</v>
      </c>
      <c r="F454" s="8">
        <v>1</v>
      </c>
      <c r="G454" s="8">
        <v>1</v>
      </c>
      <c r="H454" s="7">
        <v>1</v>
      </c>
      <c r="I454" s="7">
        <v>1</v>
      </c>
      <c r="J454" s="9" t="s">
        <v>219</v>
      </c>
      <c r="K454" s="7">
        <v>13</v>
      </c>
      <c r="L454" s="7" t="s">
        <v>52</v>
      </c>
      <c r="M454" s="7">
        <f t="shared" si="34"/>
        <v>1</v>
      </c>
      <c r="N454" s="9" t="s">
        <v>82</v>
      </c>
      <c r="O454" s="7">
        <v>0</v>
      </c>
      <c r="P454" s="9" t="s">
        <v>36</v>
      </c>
      <c r="Q454" s="7" t="s">
        <v>52</v>
      </c>
      <c r="R454" s="7" t="s">
        <v>38</v>
      </c>
      <c r="S454" s="10" t="s">
        <v>1760</v>
      </c>
      <c r="T454" s="7"/>
      <c r="U454" s="7"/>
      <c r="V454" s="7"/>
      <c r="W454" s="7"/>
      <c r="X454" s="7">
        <v>3</v>
      </c>
      <c r="Y454" s="7"/>
      <c r="Z454" s="7"/>
      <c r="AA454" s="7"/>
      <c r="AB454" s="7">
        <f t="shared" si="35"/>
        <v>1</v>
      </c>
      <c r="AC454" s="7">
        <f t="shared" si="36"/>
        <v>1</v>
      </c>
      <c r="AD454" s="7"/>
      <c r="AE454" s="7">
        <v>1</v>
      </c>
      <c r="AF454" s="7" t="s">
        <v>155</v>
      </c>
      <c r="AG454" s="7"/>
      <c r="AH454" s="7"/>
      <c r="AI454" s="7"/>
      <c r="AJ454" s="7"/>
      <c r="AK454" s="7"/>
      <c r="AL454" s="9"/>
      <c r="AM454" s="7" t="s">
        <v>71</v>
      </c>
      <c r="AN454" s="7" t="s">
        <v>71</v>
      </c>
      <c r="AO454" s="7"/>
    </row>
    <row r="455" spans="1:41" s="11" customFormat="1" ht="24" x14ac:dyDescent="0.25">
      <c r="A455" s="2">
        <v>454</v>
      </c>
      <c r="B455" s="7" t="s">
        <v>379</v>
      </c>
      <c r="C455" s="7" t="s">
        <v>100</v>
      </c>
      <c r="D455" s="7">
        <v>33</v>
      </c>
      <c r="E455" s="7">
        <v>33</v>
      </c>
      <c r="F455" s="8">
        <v>1</v>
      </c>
      <c r="G455" s="8">
        <v>1</v>
      </c>
      <c r="H455" s="7">
        <v>1</v>
      </c>
      <c r="I455" s="7">
        <v>1</v>
      </c>
      <c r="J455" s="9" t="s">
        <v>219</v>
      </c>
      <c r="K455" s="7">
        <v>13</v>
      </c>
      <c r="L455" s="7" t="s">
        <v>52</v>
      </c>
      <c r="M455" s="7">
        <f t="shared" si="34"/>
        <v>1</v>
      </c>
      <c r="N455" s="9" t="s">
        <v>82</v>
      </c>
      <c r="O455" s="7">
        <v>0</v>
      </c>
      <c r="P455" s="9" t="s">
        <v>36</v>
      </c>
      <c r="Q455" s="7" t="s">
        <v>38</v>
      </c>
      <c r="R455" s="7" t="s">
        <v>38</v>
      </c>
      <c r="S455" s="10" t="s">
        <v>1761</v>
      </c>
      <c r="T455" s="7"/>
      <c r="U455" s="7"/>
      <c r="V455" s="7"/>
      <c r="W455" s="7"/>
      <c r="X455" s="7">
        <v>3</v>
      </c>
      <c r="Y455" s="7"/>
      <c r="Z455" s="7"/>
      <c r="AA455" s="7"/>
      <c r="AB455" s="7">
        <f t="shared" si="35"/>
        <v>1</v>
      </c>
      <c r="AC455" s="7">
        <f t="shared" si="36"/>
        <v>1</v>
      </c>
      <c r="AD455" s="7"/>
      <c r="AE455" s="7"/>
      <c r="AF455" s="7"/>
      <c r="AG455" s="7"/>
      <c r="AH455" s="7"/>
      <c r="AI455" s="7"/>
      <c r="AJ455" s="7"/>
      <c r="AK455" s="7"/>
      <c r="AL455" s="9"/>
      <c r="AM455" s="7" t="s">
        <v>71</v>
      </c>
      <c r="AN455" s="7" t="s">
        <v>71</v>
      </c>
      <c r="AO455" s="12"/>
    </row>
    <row r="456" spans="1:41" s="11" customFormat="1" x14ac:dyDescent="0.25">
      <c r="A456" s="2">
        <v>455</v>
      </c>
      <c r="B456" s="7" t="s">
        <v>379</v>
      </c>
      <c r="C456" s="7" t="s">
        <v>100</v>
      </c>
      <c r="D456" s="7">
        <v>31</v>
      </c>
      <c r="E456" s="7">
        <v>31</v>
      </c>
      <c r="F456" s="8">
        <v>1</v>
      </c>
      <c r="G456" s="8">
        <v>1</v>
      </c>
      <c r="H456" s="7">
        <v>1</v>
      </c>
      <c r="I456" s="7">
        <v>1</v>
      </c>
      <c r="J456" s="9" t="s">
        <v>219</v>
      </c>
      <c r="K456" s="7">
        <v>13</v>
      </c>
      <c r="L456" s="7" t="s">
        <v>52</v>
      </c>
      <c r="M456" s="7">
        <f t="shared" si="34"/>
        <v>1</v>
      </c>
      <c r="N456" s="9" t="s">
        <v>82</v>
      </c>
      <c r="O456" s="7">
        <v>0</v>
      </c>
      <c r="P456" s="9" t="s">
        <v>36</v>
      </c>
      <c r="Q456" s="7" t="s">
        <v>38</v>
      </c>
      <c r="R456" s="7" t="s">
        <v>38</v>
      </c>
      <c r="S456" s="10" t="s">
        <v>1762</v>
      </c>
      <c r="T456" s="7"/>
      <c r="U456" s="7"/>
      <c r="V456" s="7"/>
      <c r="W456" s="7"/>
      <c r="X456" s="7">
        <v>3</v>
      </c>
      <c r="Y456" s="7"/>
      <c r="Z456" s="7"/>
      <c r="AA456" s="7"/>
      <c r="AB456" s="7">
        <f t="shared" si="35"/>
        <v>1</v>
      </c>
      <c r="AC456" s="7">
        <f t="shared" si="36"/>
        <v>1</v>
      </c>
      <c r="AD456" s="7"/>
      <c r="AE456" s="7"/>
      <c r="AF456" s="7"/>
      <c r="AG456" s="7"/>
      <c r="AH456" s="7"/>
      <c r="AI456" s="7"/>
      <c r="AJ456" s="7"/>
      <c r="AK456" s="7"/>
      <c r="AL456" s="9"/>
      <c r="AM456" s="7" t="s">
        <v>71</v>
      </c>
      <c r="AN456" s="7" t="s">
        <v>71</v>
      </c>
      <c r="AO456" s="12"/>
    </row>
    <row r="457" spans="1:41" s="11" customFormat="1" x14ac:dyDescent="0.25">
      <c r="A457" s="2">
        <v>456</v>
      </c>
      <c r="B457" s="7" t="s">
        <v>379</v>
      </c>
      <c r="C457" s="7" t="s">
        <v>50</v>
      </c>
      <c r="D457" s="7">
        <v>112</v>
      </c>
      <c r="E457" s="7">
        <v>112</v>
      </c>
      <c r="F457" s="8">
        <v>1</v>
      </c>
      <c r="G457" s="8">
        <v>1</v>
      </c>
      <c r="H457" s="7">
        <v>1</v>
      </c>
      <c r="I457" s="7">
        <v>1</v>
      </c>
      <c r="J457" s="9" t="s">
        <v>35</v>
      </c>
      <c r="K457" s="7">
        <v>2</v>
      </c>
      <c r="L457" s="7" t="s">
        <v>52</v>
      </c>
      <c r="M457" s="7">
        <f t="shared" si="34"/>
        <v>1</v>
      </c>
      <c r="N457" s="9" t="s">
        <v>34</v>
      </c>
      <c r="O457" s="7">
        <v>0</v>
      </c>
      <c r="P457" s="9" t="s">
        <v>33</v>
      </c>
      <c r="Q457" s="7" t="s">
        <v>38</v>
      </c>
      <c r="R457" s="7" t="s">
        <v>38</v>
      </c>
      <c r="S457" s="10" t="s">
        <v>1763</v>
      </c>
      <c r="T457" s="7"/>
      <c r="U457" s="7"/>
      <c r="V457" s="7"/>
      <c r="W457" s="7"/>
      <c r="X457" s="7"/>
      <c r="Y457" s="7">
        <v>100</v>
      </c>
      <c r="Z457" s="7">
        <v>100</v>
      </c>
      <c r="AA457" s="7">
        <v>71</v>
      </c>
      <c r="AB457" s="7">
        <f t="shared" si="35"/>
        <v>33.333333333333336</v>
      </c>
      <c r="AC457" s="7">
        <f t="shared" si="36"/>
        <v>33.333333333333336</v>
      </c>
      <c r="AD457" s="7"/>
      <c r="AE457" s="7"/>
      <c r="AF457" s="7"/>
      <c r="AG457" s="7"/>
      <c r="AH457" s="7"/>
      <c r="AI457" s="7"/>
      <c r="AJ457" s="10" t="s">
        <v>2350</v>
      </c>
      <c r="AK457" s="7"/>
      <c r="AL457" s="9"/>
      <c r="AM457" s="7" t="s">
        <v>42</v>
      </c>
      <c r="AN457" s="7" t="s">
        <v>42</v>
      </c>
      <c r="AO457" s="7"/>
    </row>
    <row r="458" spans="1:41" s="11" customFormat="1" x14ac:dyDescent="0.25">
      <c r="A458" s="2">
        <v>457</v>
      </c>
      <c r="B458" s="7" t="s">
        <v>379</v>
      </c>
      <c r="C458" s="7" t="s">
        <v>50</v>
      </c>
      <c r="D458" s="7">
        <v>28</v>
      </c>
      <c r="E458" s="7">
        <v>28</v>
      </c>
      <c r="F458" s="8">
        <v>1</v>
      </c>
      <c r="G458" s="8">
        <v>1</v>
      </c>
      <c r="H458" s="7">
        <v>1</v>
      </c>
      <c r="I458" s="7">
        <v>1</v>
      </c>
      <c r="J458" s="9" t="s">
        <v>35</v>
      </c>
      <c r="K458" s="7">
        <v>1</v>
      </c>
      <c r="L458" s="7" t="s">
        <v>52</v>
      </c>
      <c r="M458" s="7">
        <f t="shared" si="34"/>
        <v>1</v>
      </c>
      <c r="N458" s="9" t="s">
        <v>36</v>
      </c>
      <c r="O458" s="7">
        <v>1</v>
      </c>
      <c r="P458" s="9" t="s">
        <v>63</v>
      </c>
      <c r="Q458" s="7" t="s">
        <v>38</v>
      </c>
      <c r="R458" s="7" t="s">
        <v>38</v>
      </c>
      <c r="S458" s="10" t="s">
        <v>1764</v>
      </c>
      <c r="T458" s="7"/>
      <c r="U458" s="7"/>
      <c r="V458" s="7"/>
      <c r="W458" s="7"/>
      <c r="X458" s="7"/>
      <c r="Y458" s="7">
        <v>15</v>
      </c>
      <c r="Z458" s="7">
        <v>15</v>
      </c>
      <c r="AA458" s="7">
        <v>120</v>
      </c>
      <c r="AB458" s="7">
        <f t="shared" si="35"/>
        <v>5</v>
      </c>
      <c r="AC458" s="7">
        <f t="shared" si="36"/>
        <v>5</v>
      </c>
      <c r="AD458" s="7"/>
      <c r="AE458" s="7"/>
      <c r="AF458" s="7"/>
      <c r="AG458" s="7"/>
      <c r="AH458" s="7"/>
      <c r="AI458" s="7"/>
      <c r="AJ458" s="7"/>
      <c r="AK458" s="7"/>
      <c r="AL458" s="9"/>
      <c r="AM458" s="7" t="s">
        <v>71</v>
      </c>
      <c r="AN458" s="7" t="s">
        <v>71</v>
      </c>
      <c r="AO458" s="12"/>
    </row>
    <row r="459" spans="1:41" s="11" customFormat="1" x14ac:dyDescent="0.25">
      <c r="A459" s="2">
        <v>458</v>
      </c>
      <c r="B459" s="7" t="s">
        <v>379</v>
      </c>
      <c r="C459" s="7" t="s">
        <v>100</v>
      </c>
      <c r="D459" s="7">
        <v>8</v>
      </c>
      <c r="E459" s="7">
        <v>8</v>
      </c>
      <c r="F459" s="8">
        <v>1</v>
      </c>
      <c r="G459" s="8">
        <v>1</v>
      </c>
      <c r="H459" s="7">
        <v>1</v>
      </c>
      <c r="I459" s="7">
        <v>1</v>
      </c>
      <c r="J459" s="9" t="s">
        <v>77</v>
      </c>
      <c r="K459" s="7">
        <v>1</v>
      </c>
      <c r="L459" s="7" t="s">
        <v>38</v>
      </c>
      <c r="M459" s="7">
        <f t="shared" si="34"/>
        <v>0</v>
      </c>
      <c r="N459" s="9" t="s">
        <v>36</v>
      </c>
      <c r="O459" s="7">
        <v>0</v>
      </c>
      <c r="P459" s="9" t="s">
        <v>37</v>
      </c>
      <c r="Q459" s="7" t="s">
        <v>38</v>
      </c>
      <c r="R459" s="7" t="s">
        <v>38</v>
      </c>
      <c r="S459" s="10" t="s">
        <v>1765</v>
      </c>
      <c r="T459" s="7"/>
      <c r="U459" s="7"/>
      <c r="V459" s="7"/>
      <c r="W459" s="7"/>
      <c r="X459" s="7">
        <v>3</v>
      </c>
      <c r="Y459" s="7"/>
      <c r="Z459" s="7"/>
      <c r="AA459" s="7"/>
      <c r="AB459" s="7">
        <f t="shared" si="35"/>
        <v>1</v>
      </c>
      <c r="AC459" s="7">
        <f t="shared" si="36"/>
        <v>0</v>
      </c>
      <c r="AD459" s="7"/>
      <c r="AE459" s="7">
        <v>1</v>
      </c>
      <c r="AF459" s="7" t="s">
        <v>40</v>
      </c>
      <c r="AG459" s="7"/>
      <c r="AH459" s="7"/>
      <c r="AI459" s="7"/>
      <c r="AJ459" s="7"/>
      <c r="AK459" s="10" t="s">
        <v>2441</v>
      </c>
      <c r="AL459" s="9"/>
      <c r="AM459" s="7" t="s">
        <v>42</v>
      </c>
      <c r="AN459" s="7" t="s">
        <v>42</v>
      </c>
      <c r="AO459" s="7"/>
    </row>
    <row r="460" spans="1:41" s="11" customFormat="1" x14ac:dyDescent="0.25">
      <c r="A460" s="2">
        <v>459</v>
      </c>
      <c r="B460" s="7" t="s">
        <v>379</v>
      </c>
      <c r="C460" s="7" t="s">
        <v>50</v>
      </c>
      <c r="D460" s="7">
        <v>6</v>
      </c>
      <c r="E460" s="7">
        <v>6</v>
      </c>
      <c r="F460" s="8">
        <v>1</v>
      </c>
      <c r="G460" s="8">
        <v>1</v>
      </c>
      <c r="H460" s="7">
        <v>1</v>
      </c>
      <c r="I460" s="7">
        <v>1</v>
      </c>
      <c r="J460" s="9" t="s">
        <v>70</v>
      </c>
      <c r="K460" s="7">
        <v>1</v>
      </c>
      <c r="L460" s="7" t="s">
        <v>52</v>
      </c>
      <c r="M460" s="7">
        <f t="shared" si="34"/>
        <v>1</v>
      </c>
      <c r="N460" s="9" t="s">
        <v>36</v>
      </c>
      <c r="O460" s="7">
        <v>0</v>
      </c>
      <c r="P460" s="9" t="s">
        <v>63</v>
      </c>
      <c r="Q460" s="7" t="s">
        <v>38</v>
      </c>
      <c r="R460" s="7"/>
      <c r="S460" s="10" t="s">
        <v>1546</v>
      </c>
      <c r="T460" s="7"/>
      <c r="U460" s="7"/>
      <c r="V460" s="7"/>
      <c r="W460" s="7"/>
      <c r="X460" s="7"/>
      <c r="Y460" s="7" t="s">
        <v>92</v>
      </c>
      <c r="Z460" s="7">
        <v>3</v>
      </c>
      <c r="AA460" s="7" t="s">
        <v>76</v>
      </c>
      <c r="AB460" s="7">
        <f t="shared" si="35"/>
        <v>1</v>
      </c>
      <c r="AC460" s="7">
        <f t="shared" si="36"/>
        <v>1</v>
      </c>
      <c r="AD460" s="7"/>
      <c r="AE460" s="7"/>
      <c r="AF460" s="7"/>
      <c r="AG460" s="7"/>
      <c r="AH460" s="7"/>
      <c r="AI460" s="7"/>
      <c r="AJ460" s="7"/>
      <c r="AK460" s="7"/>
      <c r="AL460" s="9"/>
      <c r="AM460" s="7" t="s">
        <v>71</v>
      </c>
      <c r="AN460" s="7" t="s">
        <v>71</v>
      </c>
      <c r="AO460" s="12"/>
    </row>
    <row r="461" spans="1:41" s="11" customFormat="1" x14ac:dyDescent="0.25">
      <c r="A461" s="2">
        <v>460</v>
      </c>
      <c r="B461" s="7" t="s">
        <v>379</v>
      </c>
      <c r="C461" s="7" t="s">
        <v>89</v>
      </c>
      <c r="D461" s="7" t="s">
        <v>110</v>
      </c>
      <c r="E461" s="7">
        <v>7</v>
      </c>
      <c r="F461" s="8">
        <v>2</v>
      </c>
      <c r="G461" s="8">
        <v>2</v>
      </c>
      <c r="H461" s="7" t="s">
        <v>87</v>
      </c>
      <c r="I461" s="7">
        <v>2</v>
      </c>
      <c r="J461" s="9" t="s">
        <v>35</v>
      </c>
      <c r="K461" s="7">
        <v>2</v>
      </c>
      <c r="L461" s="7" t="s">
        <v>52</v>
      </c>
      <c r="M461" s="7">
        <f t="shared" si="34"/>
        <v>2</v>
      </c>
      <c r="N461" s="9" t="s">
        <v>36</v>
      </c>
      <c r="O461" s="7">
        <v>1</v>
      </c>
      <c r="P461" s="9" t="s">
        <v>63</v>
      </c>
      <c r="Q461" s="7" t="s">
        <v>38</v>
      </c>
      <c r="R461" s="7" t="s">
        <v>38</v>
      </c>
      <c r="S461" s="10" t="s">
        <v>1766</v>
      </c>
      <c r="T461" s="7"/>
      <c r="U461" s="7"/>
      <c r="V461" s="7"/>
      <c r="W461" s="7"/>
      <c r="X461" s="7">
        <v>3</v>
      </c>
      <c r="Y461" s="7"/>
      <c r="Z461" s="7"/>
      <c r="AA461" s="7"/>
      <c r="AB461" s="7">
        <f t="shared" si="35"/>
        <v>1</v>
      </c>
      <c r="AC461" s="7">
        <f t="shared" si="36"/>
        <v>1</v>
      </c>
      <c r="AD461" s="7"/>
      <c r="AE461" s="7"/>
      <c r="AF461" s="7"/>
      <c r="AG461" s="7"/>
      <c r="AH461" s="7"/>
      <c r="AI461" s="7"/>
      <c r="AJ461" s="7"/>
      <c r="AK461" s="7"/>
      <c r="AL461" s="9"/>
      <c r="AM461" s="7" t="s">
        <v>71</v>
      </c>
      <c r="AN461" s="7" t="s">
        <v>71</v>
      </c>
      <c r="AO461" s="12"/>
    </row>
    <row r="462" spans="1:41" s="11" customFormat="1" x14ac:dyDescent="0.25">
      <c r="A462" s="2">
        <v>461</v>
      </c>
      <c r="B462" s="7" t="s">
        <v>379</v>
      </c>
      <c r="C462" s="7" t="s">
        <v>100</v>
      </c>
      <c r="D462" s="7">
        <v>5</v>
      </c>
      <c r="E462" s="7">
        <v>5</v>
      </c>
      <c r="F462" s="8">
        <v>1</v>
      </c>
      <c r="G462" s="8">
        <v>1</v>
      </c>
      <c r="H462" s="7">
        <v>1</v>
      </c>
      <c r="I462" s="7">
        <v>1</v>
      </c>
      <c r="J462" s="9" t="s">
        <v>70</v>
      </c>
      <c r="K462" s="7">
        <v>1</v>
      </c>
      <c r="L462" s="7" t="s">
        <v>52</v>
      </c>
      <c r="M462" s="7">
        <f t="shared" si="34"/>
        <v>1</v>
      </c>
      <c r="N462" s="9" t="s">
        <v>34</v>
      </c>
      <c r="O462" s="7">
        <v>0</v>
      </c>
      <c r="P462" s="9" t="s">
        <v>33</v>
      </c>
      <c r="Q462" s="7" t="s">
        <v>52</v>
      </c>
      <c r="R462" s="7" t="s">
        <v>38</v>
      </c>
      <c r="S462" s="7" t="s">
        <v>418</v>
      </c>
      <c r="T462" s="7"/>
      <c r="U462" s="7"/>
      <c r="V462" s="7"/>
      <c r="W462" s="7"/>
      <c r="X462" s="7">
        <v>3</v>
      </c>
      <c r="Y462" s="7"/>
      <c r="Z462" s="7"/>
      <c r="AA462" s="7"/>
      <c r="AB462" s="7">
        <f t="shared" si="35"/>
        <v>1</v>
      </c>
      <c r="AC462" s="7">
        <f t="shared" si="36"/>
        <v>1</v>
      </c>
      <c r="AD462" s="7"/>
      <c r="AE462" s="7"/>
      <c r="AF462" s="7"/>
      <c r="AG462" s="7"/>
      <c r="AH462" s="7"/>
      <c r="AI462" s="7"/>
      <c r="AJ462" s="7"/>
      <c r="AK462" s="7"/>
      <c r="AL462" s="9"/>
      <c r="AM462" s="7" t="s">
        <v>71</v>
      </c>
      <c r="AN462" s="7" t="s">
        <v>71</v>
      </c>
      <c r="AO462" s="12"/>
    </row>
    <row r="463" spans="1:41" s="11" customFormat="1" x14ac:dyDescent="0.25">
      <c r="A463" s="2">
        <v>462</v>
      </c>
      <c r="B463" s="7" t="s">
        <v>379</v>
      </c>
      <c r="C463" s="7" t="s">
        <v>100</v>
      </c>
      <c r="D463" s="7">
        <v>5</v>
      </c>
      <c r="E463" s="7">
        <v>5</v>
      </c>
      <c r="F463" s="8">
        <v>1</v>
      </c>
      <c r="G463" s="8">
        <v>1</v>
      </c>
      <c r="H463" s="7">
        <v>1</v>
      </c>
      <c r="I463" s="7">
        <v>1</v>
      </c>
      <c r="J463" s="9" t="s">
        <v>176</v>
      </c>
      <c r="K463" s="7" t="s">
        <v>189</v>
      </c>
      <c r="L463" s="7" t="s">
        <v>52</v>
      </c>
      <c r="M463" s="7">
        <f t="shared" si="34"/>
        <v>1</v>
      </c>
      <c r="N463" s="9" t="s">
        <v>109</v>
      </c>
      <c r="O463" s="7">
        <v>0</v>
      </c>
      <c r="P463" s="9" t="s">
        <v>63</v>
      </c>
      <c r="Q463" s="7" t="s">
        <v>38</v>
      </c>
      <c r="R463" s="7"/>
      <c r="S463" s="10" t="s">
        <v>1767</v>
      </c>
      <c r="T463" s="7"/>
      <c r="U463" s="7"/>
      <c r="V463" s="7"/>
      <c r="W463" s="7"/>
      <c r="X463" s="7">
        <v>3</v>
      </c>
      <c r="Y463" s="7"/>
      <c r="Z463" s="7"/>
      <c r="AA463" s="7"/>
      <c r="AB463" s="7">
        <f t="shared" si="35"/>
        <v>1</v>
      </c>
      <c r="AC463" s="7">
        <f t="shared" si="36"/>
        <v>1</v>
      </c>
      <c r="AD463" s="7"/>
      <c r="AE463" s="7"/>
      <c r="AF463" s="7"/>
      <c r="AG463" s="7"/>
      <c r="AH463" s="7"/>
      <c r="AI463" s="7"/>
      <c r="AJ463" s="7"/>
      <c r="AK463" s="7"/>
      <c r="AL463" s="9"/>
      <c r="AM463" s="7" t="s">
        <v>71</v>
      </c>
      <c r="AN463" s="7" t="s">
        <v>71</v>
      </c>
      <c r="AO463" s="12"/>
    </row>
    <row r="464" spans="1:41" s="11" customFormat="1" x14ac:dyDescent="0.25">
      <c r="A464" s="2">
        <v>463</v>
      </c>
      <c r="B464" s="7" t="s">
        <v>379</v>
      </c>
      <c r="C464" s="7" t="s">
        <v>100</v>
      </c>
      <c r="D464" s="7">
        <v>8</v>
      </c>
      <c r="E464" s="7">
        <v>8</v>
      </c>
      <c r="F464" s="8">
        <v>1</v>
      </c>
      <c r="G464" s="8">
        <v>1</v>
      </c>
      <c r="H464" s="7">
        <v>1</v>
      </c>
      <c r="I464" s="7">
        <v>1</v>
      </c>
      <c r="J464" s="9" t="s">
        <v>176</v>
      </c>
      <c r="K464" s="7">
        <v>2</v>
      </c>
      <c r="L464" s="7" t="s">
        <v>52</v>
      </c>
      <c r="M464" s="7">
        <f t="shared" si="34"/>
        <v>1</v>
      </c>
      <c r="N464" s="9" t="s">
        <v>177</v>
      </c>
      <c r="O464" s="7">
        <v>0</v>
      </c>
      <c r="P464" s="9" t="s">
        <v>63</v>
      </c>
      <c r="Q464" s="7" t="s">
        <v>38</v>
      </c>
      <c r="R464" s="7" t="s">
        <v>38</v>
      </c>
      <c r="S464" s="10" t="s">
        <v>1768</v>
      </c>
      <c r="T464" s="7"/>
      <c r="U464" s="7"/>
      <c r="V464" s="7"/>
      <c r="W464" s="7"/>
      <c r="X464" s="7">
        <v>3</v>
      </c>
      <c r="Y464" s="7"/>
      <c r="Z464" s="7"/>
      <c r="AA464" s="7"/>
      <c r="AB464" s="7">
        <f t="shared" si="35"/>
        <v>1</v>
      </c>
      <c r="AC464" s="7">
        <f t="shared" si="36"/>
        <v>1</v>
      </c>
      <c r="AD464" s="7"/>
      <c r="AE464" s="7"/>
      <c r="AF464" s="7"/>
      <c r="AG464" s="7"/>
      <c r="AH464" s="7"/>
      <c r="AI464" s="7"/>
      <c r="AJ464" s="7"/>
      <c r="AK464" s="7"/>
      <c r="AL464" s="9"/>
      <c r="AM464" s="7" t="s">
        <v>71</v>
      </c>
      <c r="AN464" s="7" t="s">
        <v>71</v>
      </c>
      <c r="AO464" s="12"/>
    </row>
    <row r="465" spans="1:41" s="11" customFormat="1" x14ac:dyDescent="0.25">
      <c r="A465" s="2">
        <v>464</v>
      </c>
      <c r="B465" s="7" t="s">
        <v>379</v>
      </c>
      <c r="C465" s="7" t="s">
        <v>100</v>
      </c>
      <c r="D465" s="7">
        <v>18</v>
      </c>
      <c r="E465" s="7">
        <v>18</v>
      </c>
      <c r="F465" s="8">
        <v>1</v>
      </c>
      <c r="G465" s="8">
        <v>1</v>
      </c>
      <c r="H465" s="7">
        <v>1</v>
      </c>
      <c r="I465" s="7">
        <v>1</v>
      </c>
      <c r="J465" s="9" t="s">
        <v>176</v>
      </c>
      <c r="K465" s="7">
        <v>11</v>
      </c>
      <c r="L465" s="7" t="s">
        <v>52</v>
      </c>
      <c r="M465" s="7">
        <f t="shared" si="34"/>
        <v>1</v>
      </c>
      <c r="N465" s="9" t="s">
        <v>109</v>
      </c>
      <c r="O465" s="7">
        <v>0</v>
      </c>
      <c r="P465" s="9" t="s">
        <v>33</v>
      </c>
      <c r="Q465" s="7" t="s">
        <v>38</v>
      </c>
      <c r="R465" s="7" t="s">
        <v>38</v>
      </c>
      <c r="S465" s="9" t="s">
        <v>815</v>
      </c>
      <c r="T465" s="7"/>
      <c r="U465" s="7"/>
      <c r="V465" s="7"/>
      <c r="W465" s="7"/>
      <c r="X465" s="7">
        <v>5</v>
      </c>
      <c r="Y465" s="7"/>
      <c r="Z465" s="7"/>
      <c r="AA465" s="7"/>
      <c r="AB465" s="7">
        <f t="shared" si="35"/>
        <v>1.6666666666666667</v>
      </c>
      <c r="AC465" s="7">
        <f t="shared" si="36"/>
        <v>1.6666666666666667</v>
      </c>
      <c r="AD465" s="7"/>
      <c r="AE465" s="7"/>
      <c r="AF465" s="7"/>
      <c r="AG465" s="7"/>
      <c r="AH465" s="7"/>
      <c r="AI465" s="7"/>
      <c r="AJ465" s="7"/>
      <c r="AK465" s="7"/>
      <c r="AL465" s="9"/>
      <c r="AM465" s="7" t="s">
        <v>71</v>
      </c>
      <c r="AN465" s="7" t="s">
        <v>71</v>
      </c>
      <c r="AO465" s="7"/>
    </row>
    <row r="466" spans="1:41" s="11" customFormat="1" ht="24" x14ac:dyDescent="0.25">
      <c r="A466" s="2">
        <v>465</v>
      </c>
      <c r="B466" s="7" t="s">
        <v>419</v>
      </c>
      <c r="C466" s="7" t="s">
        <v>32</v>
      </c>
      <c r="D466" s="7" t="s">
        <v>420</v>
      </c>
      <c r="E466" s="7">
        <v>107</v>
      </c>
      <c r="F466" s="8">
        <v>1</v>
      </c>
      <c r="G466" s="8">
        <v>2</v>
      </c>
      <c r="H466" s="7">
        <v>2</v>
      </c>
      <c r="I466" s="7">
        <v>2</v>
      </c>
      <c r="J466" s="9" t="s">
        <v>35</v>
      </c>
      <c r="K466" s="7">
        <v>1</v>
      </c>
      <c r="L466" s="7" t="s">
        <v>52</v>
      </c>
      <c r="M466" s="7">
        <f t="shared" si="34"/>
        <v>1</v>
      </c>
      <c r="N466" s="9" t="s">
        <v>34</v>
      </c>
      <c r="O466" s="7">
        <v>0</v>
      </c>
      <c r="P466" s="9" t="s">
        <v>63</v>
      </c>
      <c r="Q466" s="7" t="s">
        <v>38</v>
      </c>
      <c r="R466" s="7" t="s">
        <v>38</v>
      </c>
      <c r="S466" s="10" t="s">
        <v>1769</v>
      </c>
      <c r="T466" s="7"/>
      <c r="U466" s="7"/>
      <c r="V466" s="7"/>
      <c r="W466" s="7"/>
      <c r="X466" s="7">
        <v>7</v>
      </c>
      <c r="Y466" s="7">
        <v>60</v>
      </c>
      <c r="Z466" s="7">
        <v>60</v>
      </c>
      <c r="AA466" s="7">
        <v>57</v>
      </c>
      <c r="AB466" s="7">
        <f t="shared" si="35"/>
        <v>22.333333333333332</v>
      </c>
      <c r="AC466" s="7">
        <f t="shared" si="36"/>
        <v>22.333333333333332</v>
      </c>
      <c r="AD466" s="7"/>
      <c r="AE466" s="7">
        <v>1</v>
      </c>
      <c r="AF466" s="7" t="s">
        <v>40</v>
      </c>
      <c r="AG466" s="7"/>
      <c r="AH466" s="7" t="s">
        <v>38</v>
      </c>
      <c r="AI466" s="7"/>
      <c r="AJ466" s="7"/>
      <c r="AK466" s="7"/>
      <c r="AL466" s="9" t="s">
        <v>38</v>
      </c>
      <c r="AM466" s="7" t="s">
        <v>42</v>
      </c>
      <c r="AN466" s="7" t="s">
        <v>42</v>
      </c>
      <c r="AO466" s="10" t="s">
        <v>2542</v>
      </c>
    </row>
    <row r="467" spans="1:41" s="11" customFormat="1" x14ac:dyDescent="0.25">
      <c r="A467" s="2">
        <v>466</v>
      </c>
      <c r="B467" s="7" t="s">
        <v>419</v>
      </c>
      <c r="C467" s="7" t="s">
        <v>421</v>
      </c>
      <c r="D467" s="7">
        <v>51</v>
      </c>
      <c r="E467" s="7">
        <v>51</v>
      </c>
      <c r="F467" s="8">
        <v>1</v>
      </c>
      <c r="G467" s="8">
        <v>1</v>
      </c>
      <c r="H467" s="7">
        <v>1</v>
      </c>
      <c r="I467" s="7">
        <v>1</v>
      </c>
      <c r="J467" s="9" t="s">
        <v>35</v>
      </c>
      <c r="K467" s="7">
        <v>2</v>
      </c>
      <c r="L467" s="7" t="s">
        <v>52</v>
      </c>
      <c r="M467" s="7">
        <f t="shared" si="34"/>
        <v>1</v>
      </c>
      <c r="N467" s="9" t="s">
        <v>34</v>
      </c>
      <c r="O467" s="7">
        <v>0</v>
      </c>
      <c r="P467" s="9" t="s">
        <v>63</v>
      </c>
      <c r="Q467" s="7" t="s">
        <v>38</v>
      </c>
      <c r="R467" s="7"/>
      <c r="S467" s="10" t="s">
        <v>1770</v>
      </c>
      <c r="T467" s="7">
        <v>20</v>
      </c>
      <c r="U467" s="7">
        <v>20</v>
      </c>
      <c r="V467" s="7">
        <v>62</v>
      </c>
      <c r="W467" s="7" t="s">
        <v>422</v>
      </c>
      <c r="X467" s="7">
        <v>25</v>
      </c>
      <c r="Y467" s="7"/>
      <c r="Z467" s="7"/>
      <c r="AA467" s="7"/>
      <c r="AB467" s="7">
        <f t="shared" si="35"/>
        <v>15</v>
      </c>
      <c r="AC467" s="7">
        <f t="shared" si="36"/>
        <v>15</v>
      </c>
      <c r="AD467" s="7"/>
      <c r="AE467" s="7">
        <v>1</v>
      </c>
      <c r="AF467" s="7" t="s">
        <v>423</v>
      </c>
      <c r="AG467" s="7" t="s">
        <v>424</v>
      </c>
      <c r="AH467" s="7"/>
      <c r="AI467" s="7"/>
      <c r="AJ467" s="7"/>
      <c r="AK467" s="7"/>
      <c r="AL467" s="9"/>
      <c r="AM467" s="7" t="s">
        <v>65</v>
      </c>
      <c r="AN467" s="7" t="s">
        <v>2846</v>
      </c>
      <c r="AO467" s="10" t="s">
        <v>2543</v>
      </c>
    </row>
    <row r="468" spans="1:41" s="11" customFormat="1" ht="48" x14ac:dyDescent="0.25">
      <c r="A468" s="2">
        <v>467</v>
      </c>
      <c r="B468" s="7" t="s">
        <v>419</v>
      </c>
      <c r="C468" s="7" t="s">
        <v>32</v>
      </c>
      <c r="D468" s="7" t="s">
        <v>425</v>
      </c>
      <c r="E468" s="7">
        <f>222+38+43+20</f>
        <v>323</v>
      </c>
      <c r="F468" s="8">
        <v>1</v>
      </c>
      <c r="G468" s="8">
        <v>6</v>
      </c>
      <c r="H468" s="7">
        <v>6</v>
      </c>
      <c r="I468" s="7">
        <v>6</v>
      </c>
      <c r="J468" s="9" t="s">
        <v>35</v>
      </c>
      <c r="K468" s="7">
        <v>2</v>
      </c>
      <c r="L468" s="7" t="s">
        <v>52</v>
      </c>
      <c r="M468" s="7">
        <f t="shared" si="34"/>
        <v>1</v>
      </c>
      <c r="N468" s="9" t="s">
        <v>36</v>
      </c>
      <c r="O468" s="7">
        <v>0</v>
      </c>
      <c r="P468" s="9" t="s">
        <v>63</v>
      </c>
      <c r="Q468" s="7" t="s">
        <v>38</v>
      </c>
      <c r="R468" s="7" t="s">
        <v>38</v>
      </c>
      <c r="S468" s="10" t="s">
        <v>1771</v>
      </c>
      <c r="T468" s="7"/>
      <c r="U468" s="7"/>
      <c r="V468" s="7"/>
      <c r="W468" s="7"/>
      <c r="X468" s="7">
        <v>15</v>
      </c>
      <c r="Y468" s="7">
        <v>37</v>
      </c>
      <c r="Z468" s="7">
        <v>37</v>
      </c>
      <c r="AA468" s="7">
        <v>110</v>
      </c>
      <c r="AB468" s="7">
        <f t="shared" si="35"/>
        <v>17.333333333333332</v>
      </c>
      <c r="AC468" s="7">
        <f t="shared" si="36"/>
        <v>17.333333333333332</v>
      </c>
      <c r="AD468" s="7"/>
      <c r="AE468" s="7">
        <v>1</v>
      </c>
      <c r="AF468" s="7" t="s">
        <v>40</v>
      </c>
      <c r="AG468" s="7"/>
      <c r="AH468" s="7"/>
      <c r="AI468" s="10" t="s">
        <v>2306</v>
      </c>
      <c r="AJ468" s="7"/>
      <c r="AK468" s="7"/>
      <c r="AL468" s="9"/>
      <c r="AM468" s="7" t="s">
        <v>426</v>
      </c>
      <c r="AN468" s="7" t="s">
        <v>42</v>
      </c>
      <c r="AO468" s="7"/>
    </row>
    <row r="469" spans="1:41" s="11" customFormat="1" x14ac:dyDescent="0.25">
      <c r="A469" s="2">
        <v>468</v>
      </c>
      <c r="B469" s="7" t="s">
        <v>419</v>
      </c>
      <c r="C469" s="7" t="s">
        <v>50</v>
      </c>
      <c r="D469" s="7">
        <v>63</v>
      </c>
      <c r="E469" s="7">
        <v>63</v>
      </c>
      <c r="F469" s="8">
        <v>1</v>
      </c>
      <c r="G469" s="8">
        <v>1</v>
      </c>
      <c r="H469" s="7">
        <v>1</v>
      </c>
      <c r="I469" s="7">
        <v>1</v>
      </c>
      <c r="J469" s="9" t="s">
        <v>35</v>
      </c>
      <c r="K469" s="7">
        <v>2</v>
      </c>
      <c r="L469" s="7" t="s">
        <v>52</v>
      </c>
      <c r="M469" s="7">
        <f t="shared" si="34"/>
        <v>1</v>
      </c>
      <c r="N469" s="9" t="s">
        <v>36</v>
      </c>
      <c r="O469" s="7">
        <v>2</v>
      </c>
      <c r="P469" s="9" t="s">
        <v>63</v>
      </c>
      <c r="Q469" s="7" t="s">
        <v>38</v>
      </c>
      <c r="R469" s="7" t="s">
        <v>38</v>
      </c>
      <c r="S469" s="10" t="s">
        <v>1772</v>
      </c>
      <c r="T469" s="7"/>
      <c r="U469" s="7"/>
      <c r="V469" s="7"/>
      <c r="W469" s="7"/>
      <c r="X469" s="7"/>
      <c r="Y469" s="7">
        <v>17</v>
      </c>
      <c r="Z469" s="7">
        <v>17</v>
      </c>
      <c r="AA469" s="7" t="s">
        <v>427</v>
      </c>
      <c r="AB469" s="7">
        <f t="shared" si="35"/>
        <v>5.666666666666667</v>
      </c>
      <c r="AC469" s="7">
        <f t="shared" si="36"/>
        <v>5.666666666666667</v>
      </c>
      <c r="AD469" s="7"/>
      <c r="AE469" s="7">
        <v>1</v>
      </c>
      <c r="AF469" s="7" t="s">
        <v>428</v>
      </c>
      <c r="AG469" s="7" t="s">
        <v>429</v>
      </c>
      <c r="AH469" s="7"/>
      <c r="AI469" s="7" t="s">
        <v>430</v>
      </c>
      <c r="AJ469" s="7"/>
      <c r="AK469" s="7"/>
      <c r="AL469" s="9"/>
      <c r="AM469" s="7" t="s">
        <v>60</v>
      </c>
      <c r="AN469" s="7" t="s">
        <v>2845</v>
      </c>
      <c r="AO469" s="10"/>
    </row>
    <row r="470" spans="1:41" s="11" customFormat="1" ht="24" x14ac:dyDescent="0.25">
      <c r="A470" s="2">
        <v>469</v>
      </c>
      <c r="B470" s="7" t="s">
        <v>419</v>
      </c>
      <c r="C470" s="7" t="s">
        <v>50</v>
      </c>
      <c r="D470" s="7" t="s">
        <v>431</v>
      </c>
      <c r="E470" s="7">
        <f>97+5</f>
        <v>102</v>
      </c>
      <c r="F470" s="8">
        <v>1</v>
      </c>
      <c r="G470" s="8">
        <v>6</v>
      </c>
      <c r="H470" s="7">
        <v>6</v>
      </c>
      <c r="I470" s="7">
        <v>6</v>
      </c>
      <c r="J470" s="9" t="s">
        <v>35</v>
      </c>
      <c r="K470" s="7">
        <v>2</v>
      </c>
      <c r="L470" s="7" t="s">
        <v>52</v>
      </c>
      <c r="M470" s="7">
        <f t="shared" si="34"/>
        <v>1</v>
      </c>
      <c r="N470" s="9" t="s">
        <v>34</v>
      </c>
      <c r="O470" s="7">
        <v>1</v>
      </c>
      <c r="P470" s="9" t="s">
        <v>33</v>
      </c>
      <c r="Q470" s="7" t="s">
        <v>38</v>
      </c>
      <c r="R470" s="7" t="s">
        <v>38</v>
      </c>
      <c r="S470" s="10" t="s">
        <v>1773</v>
      </c>
      <c r="T470" s="7"/>
      <c r="U470" s="7"/>
      <c r="V470" s="7"/>
      <c r="W470" s="7"/>
      <c r="X470" s="7">
        <v>5</v>
      </c>
      <c r="Y470" s="7">
        <v>100</v>
      </c>
      <c r="Z470" s="7">
        <v>100</v>
      </c>
      <c r="AA470" s="7">
        <v>62</v>
      </c>
      <c r="AB470" s="7">
        <f t="shared" si="35"/>
        <v>35</v>
      </c>
      <c r="AC470" s="7">
        <f t="shared" si="36"/>
        <v>35</v>
      </c>
      <c r="AD470" s="7"/>
      <c r="AE470" s="7"/>
      <c r="AF470" s="7"/>
      <c r="AG470" s="7"/>
      <c r="AH470" s="7"/>
      <c r="AI470" s="7"/>
      <c r="AJ470" s="7"/>
      <c r="AK470" s="7"/>
      <c r="AL470" s="9"/>
      <c r="AM470" s="7" t="s">
        <v>42</v>
      </c>
      <c r="AN470" s="7" t="s">
        <v>42</v>
      </c>
      <c r="AO470" s="7"/>
    </row>
    <row r="471" spans="1:41" s="11" customFormat="1" x14ac:dyDescent="0.25">
      <c r="A471" s="2">
        <v>470</v>
      </c>
      <c r="B471" s="7" t="s">
        <v>419</v>
      </c>
      <c r="C471" s="7" t="s">
        <v>100</v>
      </c>
      <c r="D471" s="7">
        <v>16</v>
      </c>
      <c r="E471" s="7">
        <v>16</v>
      </c>
      <c r="F471" s="8">
        <v>1</v>
      </c>
      <c r="G471" s="8">
        <v>1</v>
      </c>
      <c r="H471" s="7">
        <v>1</v>
      </c>
      <c r="I471" s="7">
        <v>1</v>
      </c>
      <c r="J471" s="9" t="s">
        <v>35</v>
      </c>
      <c r="K471" s="7">
        <v>2</v>
      </c>
      <c r="L471" s="7" t="s">
        <v>52</v>
      </c>
      <c r="M471" s="7">
        <f t="shared" si="34"/>
        <v>1</v>
      </c>
      <c r="N471" s="9" t="s">
        <v>34</v>
      </c>
      <c r="O471" s="7">
        <v>1</v>
      </c>
      <c r="P471" s="9" t="s">
        <v>63</v>
      </c>
      <c r="Q471" s="7" t="s">
        <v>38</v>
      </c>
      <c r="R471" s="7" t="s">
        <v>38</v>
      </c>
      <c r="S471" s="10" t="s">
        <v>1774</v>
      </c>
      <c r="T471" s="7"/>
      <c r="U471" s="7"/>
      <c r="V471" s="7"/>
      <c r="W471" s="7"/>
      <c r="X471" s="7">
        <v>3</v>
      </c>
      <c r="Y471" s="7"/>
      <c r="Z471" s="7"/>
      <c r="AA471" s="7"/>
      <c r="AB471" s="7">
        <f t="shared" si="35"/>
        <v>1</v>
      </c>
      <c r="AC471" s="7">
        <f t="shared" si="36"/>
        <v>1</v>
      </c>
      <c r="AD471" s="7"/>
      <c r="AE471" s="7">
        <v>1</v>
      </c>
      <c r="AF471" s="7" t="s">
        <v>40</v>
      </c>
      <c r="AG471" s="7"/>
      <c r="AH471" s="7" t="s">
        <v>38</v>
      </c>
      <c r="AI471" s="7"/>
      <c r="AJ471" s="7"/>
      <c r="AK471" s="7"/>
      <c r="AL471" s="9"/>
      <c r="AM471" s="7" t="s">
        <v>71</v>
      </c>
      <c r="AN471" s="7" t="s">
        <v>71</v>
      </c>
      <c r="AO471" s="7"/>
    </row>
    <row r="472" spans="1:41" s="11" customFormat="1" ht="24" x14ac:dyDescent="0.25">
      <c r="A472" s="2">
        <v>471</v>
      </c>
      <c r="B472" s="7" t="s">
        <v>419</v>
      </c>
      <c r="C472" s="7" t="s">
        <v>107</v>
      </c>
      <c r="D472" s="7" t="s">
        <v>432</v>
      </c>
      <c r="E472" s="7">
        <f>37+24</f>
        <v>61</v>
      </c>
      <c r="F472" s="8">
        <v>1</v>
      </c>
      <c r="G472" s="8">
        <v>3</v>
      </c>
      <c r="H472" s="7">
        <v>3</v>
      </c>
      <c r="I472" s="7">
        <v>3</v>
      </c>
      <c r="J472" s="9" t="s">
        <v>35</v>
      </c>
      <c r="K472" s="7">
        <v>3</v>
      </c>
      <c r="L472" s="7" t="s">
        <v>52</v>
      </c>
      <c r="M472" s="7">
        <f t="shared" si="34"/>
        <v>1</v>
      </c>
      <c r="N472" s="9" t="s">
        <v>34</v>
      </c>
      <c r="O472" s="7">
        <v>0</v>
      </c>
      <c r="P472" s="9" t="s">
        <v>63</v>
      </c>
      <c r="Q472" s="7" t="s">
        <v>52</v>
      </c>
      <c r="R472" s="7" t="s">
        <v>38</v>
      </c>
      <c r="S472" s="10" t="s">
        <v>1775</v>
      </c>
      <c r="T472" s="7"/>
      <c r="U472" s="7"/>
      <c r="V472" s="7"/>
      <c r="W472" s="7"/>
      <c r="X472" s="7">
        <v>3</v>
      </c>
      <c r="Y472" s="7">
        <v>15</v>
      </c>
      <c r="Z472" s="7">
        <v>15</v>
      </c>
      <c r="AA472" s="7">
        <v>80</v>
      </c>
      <c r="AB472" s="7">
        <f t="shared" si="35"/>
        <v>6</v>
      </c>
      <c r="AC472" s="7">
        <f t="shared" si="36"/>
        <v>6</v>
      </c>
      <c r="AD472" s="7"/>
      <c r="AE472" s="7"/>
      <c r="AF472" s="7"/>
      <c r="AG472" s="7"/>
      <c r="AH472" s="7"/>
      <c r="AI472" s="7"/>
      <c r="AJ472" s="7"/>
      <c r="AK472" s="7"/>
      <c r="AL472" s="9"/>
      <c r="AM472" s="7" t="s">
        <v>67</v>
      </c>
      <c r="AN472" s="7" t="s">
        <v>2847</v>
      </c>
      <c r="AO472" s="10" t="s">
        <v>2544</v>
      </c>
    </row>
    <row r="473" spans="1:41" s="11" customFormat="1" ht="24" x14ac:dyDescent="0.25">
      <c r="A473" s="2">
        <v>472</v>
      </c>
      <c r="B473" s="7" t="s">
        <v>419</v>
      </c>
      <c r="C473" s="7" t="s">
        <v>50</v>
      </c>
      <c r="D473" s="7">
        <v>110</v>
      </c>
      <c r="E473" s="7">
        <v>110</v>
      </c>
      <c r="F473" s="8">
        <v>1</v>
      </c>
      <c r="G473" s="8">
        <v>1</v>
      </c>
      <c r="H473" s="7">
        <v>1</v>
      </c>
      <c r="I473" s="7">
        <v>1</v>
      </c>
      <c r="J473" s="9" t="s">
        <v>433</v>
      </c>
      <c r="K473" s="7">
        <v>1</v>
      </c>
      <c r="L473" s="7" t="s">
        <v>52</v>
      </c>
      <c r="M473" s="7">
        <f t="shared" si="34"/>
        <v>1</v>
      </c>
      <c r="N473" s="9" t="s">
        <v>36</v>
      </c>
      <c r="O473" s="7">
        <v>0</v>
      </c>
      <c r="P473" s="9" t="s">
        <v>34</v>
      </c>
      <c r="Q473" s="7" t="s">
        <v>38</v>
      </c>
      <c r="R473" s="7" t="s">
        <v>38</v>
      </c>
      <c r="S473" s="10" t="s">
        <v>1776</v>
      </c>
      <c r="T473" s="7"/>
      <c r="U473" s="7"/>
      <c r="V473" s="7"/>
      <c r="W473" s="7"/>
      <c r="X473" s="7"/>
      <c r="Y473" s="7">
        <v>30</v>
      </c>
      <c r="Z473" s="7">
        <v>30</v>
      </c>
      <c r="AA473" s="7">
        <v>110</v>
      </c>
      <c r="AB473" s="7">
        <f t="shared" si="35"/>
        <v>10</v>
      </c>
      <c r="AC473" s="7">
        <f t="shared" si="36"/>
        <v>10</v>
      </c>
      <c r="AD473" s="7"/>
      <c r="AE473" s="7"/>
      <c r="AF473" s="7"/>
      <c r="AG473" s="7"/>
      <c r="AH473" s="7"/>
      <c r="AI473" s="7"/>
      <c r="AJ473" s="7"/>
      <c r="AK473" s="7"/>
      <c r="AL473" s="9"/>
      <c r="AM473" s="7" t="s">
        <v>71</v>
      </c>
      <c r="AN473" s="7" t="s">
        <v>71</v>
      </c>
      <c r="AO473" s="7"/>
    </row>
    <row r="474" spans="1:41" s="11" customFormat="1" ht="36" x14ac:dyDescent="0.25">
      <c r="A474" s="2">
        <v>473</v>
      </c>
      <c r="B474" s="7" t="s">
        <v>419</v>
      </c>
      <c r="C474" s="7" t="s">
        <v>50</v>
      </c>
      <c r="D474" s="7" t="s">
        <v>434</v>
      </c>
      <c r="E474" s="7">
        <f>73+62+78</f>
        <v>213</v>
      </c>
      <c r="F474" s="8">
        <v>1</v>
      </c>
      <c r="G474" s="8">
        <v>4</v>
      </c>
      <c r="H474" s="7">
        <v>4</v>
      </c>
      <c r="I474" s="7">
        <v>4</v>
      </c>
      <c r="J474" s="9" t="s">
        <v>433</v>
      </c>
      <c r="K474" s="7">
        <v>1</v>
      </c>
      <c r="L474" s="7" t="s">
        <v>52</v>
      </c>
      <c r="M474" s="7">
        <f t="shared" si="34"/>
        <v>1</v>
      </c>
      <c r="N474" s="9" t="s">
        <v>34</v>
      </c>
      <c r="O474" s="7">
        <v>0</v>
      </c>
      <c r="P474" s="9" t="s">
        <v>33</v>
      </c>
      <c r="Q474" s="7" t="s">
        <v>38</v>
      </c>
      <c r="R474" s="7" t="s">
        <v>38</v>
      </c>
      <c r="S474" s="10" t="s">
        <v>1777</v>
      </c>
      <c r="T474" s="7"/>
      <c r="U474" s="7"/>
      <c r="V474" s="7"/>
      <c r="W474" s="7"/>
      <c r="X474" s="7">
        <v>5</v>
      </c>
      <c r="Y474" s="7">
        <v>45</v>
      </c>
      <c r="Z474" s="7">
        <v>45</v>
      </c>
      <c r="AA474" s="7">
        <v>95</v>
      </c>
      <c r="AB474" s="7">
        <f t="shared" si="35"/>
        <v>16.666666666666668</v>
      </c>
      <c r="AC474" s="7">
        <f t="shared" si="36"/>
        <v>16.666666666666668</v>
      </c>
      <c r="AD474" s="7"/>
      <c r="AE474" s="7"/>
      <c r="AF474" s="7"/>
      <c r="AG474" s="7"/>
      <c r="AH474" s="7"/>
      <c r="AI474" s="7"/>
      <c r="AJ474" s="7"/>
      <c r="AK474" s="7"/>
      <c r="AL474" s="9"/>
      <c r="AM474" s="7" t="s">
        <v>71</v>
      </c>
      <c r="AN474" s="7" t="s">
        <v>71</v>
      </c>
      <c r="AO474" s="10"/>
    </row>
    <row r="475" spans="1:41" s="11" customFormat="1" x14ac:dyDescent="0.25">
      <c r="A475" s="2">
        <v>474</v>
      </c>
      <c r="B475" s="7" t="s">
        <v>419</v>
      </c>
      <c r="C475" s="7" t="s">
        <v>50</v>
      </c>
      <c r="D475" s="7">
        <v>26</v>
      </c>
      <c r="E475" s="7">
        <v>26</v>
      </c>
      <c r="F475" s="8">
        <v>1</v>
      </c>
      <c r="G475" s="8">
        <v>1</v>
      </c>
      <c r="H475" s="7">
        <v>1</v>
      </c>
      <c r="I475" s="7">
        <v>1</v>
      </c>
      <c r="J475" s="9" t="s">
        <v>35</v>
      </c>
      <c r="K475" s="7">
        <v>2</v>
      </c>
      <c r="L475" s="7" t="s">
        <v>52</v>
      </c>
      <c r="M475" s="7">
        <f t="shared" si="34"/>
        <v>1</v>
      </c>
      <c r="N475" s="9" t="s">
        <v>34</v>
      </c>
      <c r="O475" s="7">
        <v>0</v>
      </c>
      <c r="P475" s="9" t="s">
        <v>63</v>
      </c>
      <c r="Q475" s="7" t="s">
        <v>38</v>
      </c>
      <c r="R475" s="7" t="s">
        <v>38</v>
      </c>
      <c r="S475" s="10" t="s">
        <v>1778</v>
      </c>
      <c r="T475" s="7"/>
      <c r="U475" s="7"/>
      <c r="V475" s="7"/>
      <c r="W475" s="7"/>
      <c r="X475" s="7"/>
      <c r="Y475" s="7">
        <v>30</v>
      </c>
      <c r="Z475" s="7">
        <v>30</v>
      </c>
      <c r="AA475" s="7">
        <v>65</v>
      </c>
      <c r="AB475" s="7">
        <f t="shared" si="35"/>
        <v>10</v>
      </c>
      <c r="AC475" s="7">
        <f t="shared" si="36"/>
        <v>10</v>
      </c>
      <c r="AD475" s="7"/>
      <c r="AE475" s="7"/>
      <c r="AF475" s="7"/>
      <c r="AG475" s="7"/>
      <c r="AH475" s="7"/>
      <c r="AI475" s="7"/>
      <c r="AJ475" s="7"/>
      <c r="AK475" s="7"/>
      <c r="AL475" s="9"/>
      <c r="AM475" s="7" t="s">
        <v>42</v>
      </c>
      <c r="AN475" s="7" t="s">
        <v>42</v>
      </c>
      <c r="AO475" s="10"/>
    </row>
    <row r="476" spans="1:41" s="11" customFormat="1" ht="24" x14ac:dyDescent="0.25">
      <c r="A476" s="2">
        <v>475</v>
      </c>
      <c r="B476" s="7" t="s">
        <v>419</v>
      </c>
      <c r="C476" s="7" t="s">
        <v>107</v>
      </c>
      <c r="D476" s="7" t="s">
        <v>435</v>
      </c>
      <c r="E476" s="7">
        <f>34+19+31+9+3</f>
        <v>96</v>
      </c>
      <c r="F476" s="8">
        <v>1</v>
      </c>
      <c r="G476" s="8">
        <v>6</v>
      </c>
      <c r="H476" s="7">
        <v>6</v>
      </c>
      <c r="I476" s="7">
        <v>6</v>
      </c>
      <c r="J476" s="9" t="s">
        <v>35</v>
      </c>
      <c r="K476" s="7">
        <v>2</v>
      </c>
      <c r="L476" s="7" t="s">
        <v>52</v>
      </c>
      <c r="M476" s="7">
        <f t="shared" si="34"/>
        <v>1</v>
      </c>
      <c r="N476" s="9" t="s">
        <v>34</v>
      </c>
      <c r="O476" s="7">
        <v>1</v>
      </c>
      <c r="P476" s="9" t="s">
        <v>33</v>
      </c>
      <c r="Q476" s="7" t="s">
        <v>38</v>
      </c>
      <c r="R476" s="7" t="s">
        <v>38</v>
      </c>
      <c r="S476" s="10" t="s">
        <v>1779</v>
      </c>
      <c r="T476" s="7"/>
      <c r="U476" s="7"/>
      <c r="V476" s="7"/>
      <c r="W476" s="7"/>
      <c r="X476" s="7"/>
      <c r="Y476" s="7">
        <v>25</v>
      </c>
      <c r="Z476" s="7">
        <v>25</v>
      </c>
      <c r="AA476" s="7">
        <v>100</v>
      </c>
      <c r="AB476" s="7">
        <f t="shared" si="35"/>
        <v>8.3333333333333339</v>
      </c>
      <c r="AC476" s="7">
        <f t="shared" si="36"/>
        <v>8.3333333333333339</v>
      </c>
      <c r="AD476" s="7"/>
      <c r="AE476" s="7"/>
      <c r="AF476" s="7"/>
      <c r="AG476" s="7"/>
      <c r="AH476" s="7"/>
      <c r="AI476" s="7"/>
      <c r="AJ476" s="7"/>
      <c r="AK476" s="7"/>
      <c r="AL476" s="9"/>
      <c r="AM476" s="7" t="s">
        <v>71</v>
      </c>
      <c r="AN476" s="7" t="s">
        <v>71</v>
      </c>
      <c r="AO476" s="7"/>
    </row>
    <row r="477" spans="1:41" s="11" customFormat="1" x14ac:dyDescent="0.25">
      <c r="A477" s="2">
        <v>476</v>
      </c>
      <c r="B477" s="7" t="s">
        <v>419</v>
      </c>
      <c r="C477" s="7" t="s">
        <v>78</v>
      </c>
      <c r="D477" s="7">
        <v>3</v>
      </c>
      <c r="E477" s="7">
        <v>3</v>
      </c>
      <c r="F477" s="8">
        <v>1</v>
      </c>
      <c r="G477" s="8">
        <v>1</v>
      </c>
      <c r="H477" s="7">
        <v>1</v>
      </c>
      <c r="I477" s="7">
        <v>1</v>
      </c>
      <c r="J477" s="9" t="s">
        <v>35</v>
      </c>
      <c r="K477" s="7">
        <v>1</v>
      </c>
      <c r="L477" s="7" t="s">
        <v>52</v>
      </c>
      <c r="M477" s="7">
        <f t="shared" si="34"/>
        <v>1</v>
      </c>
      <c r="N477" s="9" t="s">
        <v>36</v>
      </c>
      <c r="O477" s="7">
        <v>0</v>
      </c>
      <c r="P477" s="9" t="s">
        <v>37</v>
      </c>
      <c r="Q477" s="7" t="s">
        <v>38</v>
      </c>
      <c r="R477" s="7" t="s">
        <v>38</v>
      </c>
      <c r="S477" s="7" t="s">
        <v>436</v>
      </c>
      <c r="T477" s="7">
        <v>8</v>
      </c>
      <c r="U477" s="7">
        <v>8</v>
      </c>
      <c r="V477" s="7">
        <v>90</v>
      </c>
      <c r="W477" s="7" t="s">
        <v>88</v>
      </c>
      <c r="X477" s="7"/>
      <c r="Y477" s="7"/>
      <c r="Z477" s="7"/>
      <c r="AA477" s="7"/>
      <c r="AB477" s="7">
        <f t="shared" si="35"/>
        <v>2.6666666666666665</v>
      </c>
      <c r="AC477" s="7">
        <f t="shared" si="36"/>
        <v>2.6666666666666665</v>
      </c>
      <c r="AD477" s="7"/>
      <c r="AE477" s="7"/>
      <c r="AF477" s="7"/>
      <c r="AG477" s="7"/>
      <c r="AH477" s="7"/>
      <c r="AI477" s="7"/>
      <c r="AJ477" s="7"/>
      <c r="AK477" s="7"/>
      <c r="AL477" s="9"/>
      <c r="AM477" s="7" t="s">
        <v>42</v>
      </c>
      <c r="AN477" s="7" t="s">
        <v>42</v>
      </c>
      <c r="AO477" s="7"/>
    </row>
    <row r="478" spans="1:41" s="11" customFormat="1" x14ac:dyDescent="0.25">
      <c r="A478" s="2">
        <v>477</v>
      </c>
      <c r="B478" s="7" t="s">
        <v>419</v>
      </c>
      <c r="C478" s="7" t="s">
        <v>78</v>
      </c>
      <c r="D478" s="7">
        <v>6</v>
      </c>
      <c r="E478" s="7">
        <v>6</v>
      </c>
      <c r="F478" s="8">
        <v>1</v>
      </c>
      <c r="G478" s="8">
        <v>1</v>
      </c>
      <c r="H478" s="7">
        <v>1</v>
      </c>
      <c r="I478" s="7">
        <v>1</v>
      </c>
      <c r="J478" s="9" t="s">
        <v>35</v>
      </c>
      <c r="K478" s="7">
        <v>1</v>
      </c>
      <c r="L478" s="7" t="s">
        <v>52</v>
      </c>
      <c r="M478" s="7">
        <f t="shared" si="34"/>
        <v>1</v>
      </c>
      <c r="N478" s="9" t="s">
        <v>34</v>
      </c>
      <c r="O478" s="7">
        <v>1</v>
      </c>
      <c r="P478" s="9" t="s">
        <v>33</v>
      </c>
      <c r="Q478" s="7" t="s">
        <v>38</v>
      </c>
      <c r="R478" s="7" t="s">
        <v>38</v>
      </c>
      <c r="S478" s="10" t="s">
        <v>1780</v>
      </c>
      <c r="T478" s="7">
        <v>15</v>
      </c>
      <c r="U478" s="7">
        <v>15</v>
      </c>
      <c r="V478" s="7">
        <v>75</v>
      </c>
      <c r="W478" s="7" t="s">
        <v>88</v>
      </c>
      <c r="X478" s="7"/>
      <c r="Y478" s="7"/>
      <c r="Z478" s="7"/>
      <c r="AA478" s="7"/>
      <c r="AB478" s="7">
        <f t="shared" si="35"/>
        <v>5</v>
      </c>
      <c r="AC478" s="7">
        <f t="shared" si="36"/>
        <v>5</v>
      </c>
      <c r="AD478" s="7"/>
      <c r="AE478" s="7"/>
      <c r="AF478" s="7"/>
      <c r="AG478" s="7"/>
      <c r="AH478" s="7"/>
      <c r="AI478" s="7"/>
      <c r="AJ478" s="7"/>
      <c r="AK478" s="7"/>
      <c r="AL478" s="9"/>
      <c r="AM478" s="7" t="s">
        <v>42</v>
      </c>
      <c r="AN478" s="7" t="s">
        <v>42</v>
      </c>
      <c r="AO478" s="7"/>
    </row>
    <row r="479" spans="1:41" s="11" customFormat="1" x14ac:dyDescent="0.25">
      <c r="A479" s="2">
        <v>478</v>
      </c>
      <c r="B479" s="7" t="s">
        <v>419</v>
      </c>
      <c r="C479" s="7" t="s">
        <v>78</v>
      </c>
      <c r="D479" s="7">
        <v>2</v>
      </c>
      <c r="E479" s="7">
        <v>2</v>
      </c>
      <c r="F479" s="8">
        <v>1</v>
      </c>
      <c r="G479" s="8">
        <v>1</v>
      </c>
      <c r="H479" s="7">
        <v>1</v>
      </c>
      <c r="I479" s="7">
        <v>1</v>
      </c>
      <c r="J479" s="9" t="s">
        <v>70</v>
      </c>
      <c r="K479" s="7">
        <v>1</v>
      </c>
      <c r="L479" s="7" t="s">
        <v>52</v>
      </c>
      <c r="M479" s="7">
        <f t="shared" si="34"/>
        <v>1</v>
      </c>
      <c r="N479" s="9" t="s">
        <v>36</v>
      </c>
      <c r="O479" s="7">
        <v>0</v>
      </c>
      <c r="P479" s="9" t="s">
        <v>33</v>
      </c>
      <c r="Q479" s="7" t="s">
        <v>38</v>
      </c>
      <c r="R479" s="7" t="s">
        <v>38</v>
      </c>
      <c r="S479" s="10" t="s">
        <v>1715</v>
      </c>
      <c r="T479" s="7">
        <v>15</v>
      </c>
      <c r="U479" s="7">
        <v>15</v>
      </c>
      <c r="V479" s="7">
        <v>70</v>
      </c>
      <c r="W479" s="7" t="s">
        <v>88</v>
      </c>
      <c r="X479" s="7"/>
      <c r="Y479" s="7"/>
      <c r="Z479" s="7"/>
      <c r="AA479" s="7"/>
      <c r="AB479" s="7">
        <f t="shared" si="35"/>
        <v>5</v>
      </c>
      <c r="AC479" s="7">
        <f t="shared" si="36"/>
        <v>5</v>
      </c>
      <c r="AD479" s="7"/>
      <c r="AE479" s="7"/>
      <c r="AF479" s="7"/>
      <c r="AG479" s="7"/>
      <c r="AH479" s="7"/>
      <c r="AI479" s="7"/>
      <c r="AJ479" s="7"/>
      <c r="AK479" s="7"/>
      <c r="AL479" s="9"/>
      <c r="AM479" s="7" t="s">
        <v>42</v>
      </c>
      <c r="AN479" s="7" t="s">
        <v>42</v>
      </c>
      <c r="AO479" s="7"/>
    </row>
    <row r="480" spans="1:41" s="11" customFormat="1" x14ac:dyDescent="0.25">
      <c r="A480" s="2">
        <v>479</v>
      </c>
      <c r="B480" s="7" t="s">
        <v>419</v>
      </c>
      <c r="C480" s="7" t="s">
        <v>89</v>
      </c>
      <c r="D480" s="7" t="s">
        <v>437</v>
      </c>
      <c r="E480" s="7">
        <f>26+22+23</f>
        <v>71</v>
      </c>
      <c r="F480" s="8">
        <v>1</v>
      </c>
      <c r="G480" s="8">
        <v>4</v>
      </c>
      <c r="H480" s="7" t="s">
        <v>91</v>
      </c>
      <c r="I480" s="7">
        <v>4</v>
      </c>
      <c r="J480" s="9" t="s">
        <v>35</v>
      </c>
      <c r="K480" s="7">
        <v>2</v>
      </c>
      <c r="L480" s="7" t="s">
        <v>52</v>
      </c>
      <c r="M480" s="7">
        <f t="shared" si="34"/>
        <v>1</v>
      </c>
      <c r="N480" s="9" t="s">
        <v>34</v>
      </c>
      <c r="O480" s="7">
        <v>3</v>
      </c>
      <c r="P480" s="9" t="s">
        <v>37</v>
      </c>
      <c r="Q480" s="7" t="s">
        <v>38</v>
      </c>
      <c r="R480" s="7" t="s">
        <v>38</v>
      </c>
      <c r="S480" s="10" t="s">
        <v>1781</v>
      </c>
      <c r="T480" s="7"/>
      <c r="U480" s="7"/>
      <c r="V480" s="7"/>
      <c r="W480" s="7"/>
      <c r="X480" s="7">
        <v>5</v>
      </c>
      <c r="Y480" s="7"/>
      <c r="Z480" s="7"/>
      <c r="AA480" s="7"/>
      <c r="AB480" s="7">
        <f t="shared" si="35"/>
        <v>1.6666666666666667</v>
      </c>
      <c r="AC480" s="7">
        <f t="shared" si="36"/>
        <v>1.6666666666666667</v>
      </c>
      <c r="AD480" s="7"/>
      <c r="AE480" s="7">
        <v>2</v>
      </c>
      <c r="AF480" s="7" t="s">
        <v>40</v>
      </c>
      <c r="AG480" s="7"/>
      <c r="AH480" s="7"/>
      <c r="AI480" s="7"/>
      <c r="AJ480" s="7"/>
      <c r="AK480" s="7"/>
      <c r="AL480" s="9"/>
      <c r="AM480" s="7" t="s">
        <v>71</v>
      </c>
      <c r="AN480" s="7" t="s">
        <v>71</v>
      </c>
      <c r="AO480" s="7"/>
    </row>
    <row r="481" spans="1:41" s="11" customFormat="1" x14ac:dyDescent="0.25">
      <c r="A481" s="2">
        <v>480</v>
      </c>
      <c r="B481" s="7" t="s">
        <v>419</v>
      </c>
      <c r="C481" s="7" t="s">
        <v>89</v>
      </c>
      <c r="D481" s="7">
        <v>23</v>
      </c>
      <c r="E481" s="7">
        <v>23</v>
      </c>
      <c r="F481" s="8">
        <v>1</v>
      </c>
      <c r="G481" s="8">
        <v>1</v>
      </c>
      <c r="H481" s="7">
        <v>1</v>
      </c>
      <c r="I481" s="7">
        <v>1</v>
      </c>
      <c r="J481" s="9" t="s">
        <v>35</v>
      </c>
      <c r="K481" s="7">
        <v>2</v>
      </c>
      <c r="L481" s="7" t="s">
        <v>52</v>
      </c>
      <c r="M481" s="7">
        <f t="shared" si="34"/>
        <v>1</v>
      </c>
      <c r="N481" s="9" t="s">
        <v>34</v>
      </c>
      <c r="O481" s="7">
        <v>2</v>
      </c>
      <c r="P481" s="9" t="s">
        <v>63</v>
      </c>
      <c r="Q481" s="7" t="s">
        <v>52</v>
      </c>
      <c r="R481" s="7" t="s">
        <v>38</v>
      </c>
      <c r="S481" s="7" t="s">
        <v>438</v>
      </c>
      <c r="T481" s="7"/>
      <c r="U481" s="7"/>
      <c r="V481" s="7"/>
      <c r="W481" s="7"/>
      <c r="X481" s="7">
        <v>3</v>
      </c>
      <c r="Y481" s="7"/>
      <c r="Z481" s="7"/>
      <c r="AA481" s="7"/>
      <c r="AB481" s="7">
        <f t="shared" si="35"/>
        <v>1</v>
      </c>
      <c r="AC481" s="7">
        <f t="shared" si="36"/>
        <v>1</v>
      </c>
      <c r="AD481" s="7"/>
      <c r="AE481" s="7"/>
      <c r="AF481" s="7"/>
      <c r="AG481" s="7"/>
      <c r="AH481" s="7"/>
      <c r="AI481" s="7"/>
      <c r="AJ481" s="7"/>
      <c r="AK481" s="7"/>
      <c r="AL481" s="9"/>
      <c r="AM481" s="7" t="s">
        <v>67</v>
      </c>
      <c r="AN481" s="7" t="s">
        <v>2847</v>
      </c>
      <c r="AO481" s="10" t="s">
        <v>2545</v>
      </c>
    </row>
    <row r="482" spans="1:41" s="11" customFormat="1" x14ac:dyDescent="0.25">
      <c r="A482" s="2">
        <v>481</v>
      </c>
      <c r="B482" s="7" t="s">
        <v>419</v>
      </c>
      <c r="C482" s="7" t="s">
        <v>100</v>
      </c>
      <c r="D482" s="7">
        <v>33</v>
      </c>
      <c r="E482" s="7">
        <v>33</v>
      </c>
      <c r="F482" s="8">
        <v>1</v>
      </c>
      <c r="G482" s="8">
        <v>1</v>
      </c>
      <c r="H482" s="7">
        <v>1</v>
      </c>
      <c r="I482" s="7">
        <v>1</v>
      </c>
      <c r="J482" s="9" t="s">
        <v>70</v>
      </c>
      <c r="K482" s="7">
        <v>1</v>
      </c>
      <c r="L482" s="7" t="s">
        <v>52</v>
      </c>
      <c r="M482" s="7">
        <f t="shared" si="34"/>
        <v>1</v>
      </c>
      <c r="N482" s="9" t="s">
        <v>36</v>
      </c>
      <c r="O482" s="7">
        <v>0</v>
      </c>
      <c r="P482" s="9" t="s">
        <v>33</v>
      </c>
      <c r="Q482" s="7" t="s">
        <v>52</v>
      </c>
      <c r="R482" s="7" t="s">
        <v>38</v>
      </c>
      <c r="S482" s="10" t="s">
        <v>1782</v>
      </c>
      <c r="T482" s="7"/>
      <c r="U482" s="7"/>
      <c r="V482" s="7"/>
      <c r="W482" s="7"/>
      <c r="X482" s="7">
        <v>3</v>
      </c>
      <c r="Y482" s="7"/>
      <c r="Z482" s="7"/>
      <c r="AA482" s="7"/>
      <c r="AB482" s="7">
        <f t="shared" si="35"/>
        <v>1</v>
      </c>
      <c r="AC482" s="7">
        <f t="shared" si="36"/>
        <v>1</v>
      </c>
      <c r="AD482" s="7"/>
      <c r="AE482" s="7"/>
      <c r="AF482" s="7"/>
      <c r="AG482" s="7"/>
      <c r="AH482" s="7"/>
      <c r="AI482" s="7"/>
      <c r="AJ482" s="7"/>
      <c r="AK482" s="7"/>
      <c r="AL482" s="9"/>
      <c r="AM482" s="7" t="s">
        <v>67</v>
      </c>
      <c r="AN482" s="7" t="s">
        <v>2847</v>
      </c>
      <c r="AO482" s="10" t="s">
        <v>2545</v>
      </c>
    </row>
    <row r="483" spans="1:41" s="11" customFormat="1" x14ac:dyDescent="0.25">
      <c r="A483" s="2">
        <v>482</v>
      </c>
      <c r="B483" s="7" t="s">
        <v>419</v>
      </c>
      <c r="C483" s="7" t="s">
        <v>100</v>
      </c>
      <c r="D483" s="7">
        <v>7</v>
      </c>
      <c r="E483" s="7">
        <v>7</v>
      </c>
      <c r="F483" s="8">
        <v>1</v>
      </c>
      <c r="G483" s="8">
        <v>1</v>
      </c>
      <c r="H483" s="7">
        <v>1</v>
      </c>
      <c r="I483" s="7">
        <v>1</v>
      </c>
      <c r="J483" s="9" t="s">
        <v>35</v>
      </c>
      <c r="K483" s="7">
        <v>1</v>
      </c>
      <c r="L483" s="7" t="s">
        <v>52</v>
      </c>
      <c r="M483" s="7">
        <f t="shared" si="34"/>
        <v>1</v>
      </c>
      <c r="N483" s="9" t="s">
        <v>36</v>
      </c>
      <c r="O483" s="7">
        <v>0</v>
      </c>
      <c r="P483" s="9" t="s">
        <v>37</v>
      </c>
      <c r="Q483" s="7" t="s">
        <v>52</v>
      </c>
      <c r="R483" s="7" t="s">
        <v>38</v>
      </c>
      <c r="S483" s="10" t="s">
        <v>1783</v>
      </c>
      <c r="T483" s="7"/>
      <c r="U483" s="7"/>
      <c r="V483" s="7"/>
      <c r="W483" s="7"/>
      <c r="X483" s="7">
        <v>3</v>
      </c>
      <c r="Y483" s="7"/>
      <c r="Z483" s="7"/>
      <c r="AA483" s="7"/>
      <c r="AB483" s="7">
        <f t="shared" si="35"/>
        <v>1</v>
      </c>
      <c r="AC483" s="7">
        <f t="shared" si="36"/>
        <v>1</v>
      </c>
      <c r="AD483" s="7"/>
      <c r="AE483" s="7"/>
      <c r="AF483" s="7"/>
      <c r="AG483" s="7"/>
      <c r="AH483" s="7"/>
      <c r="AI483" s="7"/>
      <c r="AJ483" s="7"/>
      <c r="AK483" s="7"/>
      <c r="AL483" s="9"/>
      <c r="AM483" s="7" t="s">
        <v>67</v>
      </c>
      <c r="AN483" s="7" t="s">
        <v>2847</v>
      </c>
      <c r="AO483" s="10" t="s">
        <v>2545</v>
      </c>
    </row>
    <row r="484" spans="1:41" s="11" customFormat="1" x14ac:dyDescent="0.25">
      <c r="A484" s="2">
        <v>483</v>
      </c>
      <c r="B484" s="7" t="s">
        <v>419</v>
      </c>
      <c r="C484" s="7" t="s">
        <v>100</v>
      </c>
      <c r="D484" s="7">
        <v>18</v>
      </c>
      <c r="E484" s="7">
        <v>18</v>
      </c>
      <c r="F484" s="8">
        <v>1</v>
      </c>
      <c r="G484" s="8">
        <v>1</v>
      </c>
      <c r="H484" s="7">
        <v>1</v>
      </c>
      <c r="I484" s="7">
        <v>1</v>
      </c>
      <c r="J484" s="9" t="s">
        <v>70</v>
      </c>
      <c r="K484" s="7">
        <v>1</v>
      </c>
      <c r="L484" s="7" t="s">
        <v>52</v>
      </c>
      <c r="M484" s="7">
        <f t="shared" si="34"/>
        <v>1</v>
      </c>
      <c r="N484" s="9"/>
      <c r="O484" s="7"/>
      <c r="P484" s="9"/>
      <c r="Q484" s="7" t="s">
        <v>52</v>
      </c>
      <c r="R484" s="7" t="s">
        <v>38</v>
      </c>
      <c r="S484" s="10" t="s">
        <v>450</v>
      </c>
      <c r="T484" s="7"/>
      <c r="U484" s="7"/>
      <c r="V484" s="7"/>
      <c r="W484" s="7"/>
      <c r="X484" s="7">
        <v>3</v>
      </c>
      <c r="Y484" s="7"/>
      <c r="Z484" s="7"/>
      <c r="AA484" s="7"/>
      <c r="AB484" s="7">
        <f t="shared" si="35"/>
        <v>1</v>
      </c>
      <c r="AC484" s="7">
        <f t="shared" si="36"/>
        <v>1</v>
      </c>
      <c r="AD484" s="7"/>
      <c r="AE484" s="7"/>
      <c r="AF484" s="7"/>
      <c r="AG484" s="7"/>
      <c r="AH484" s="7"/>
      <c r="AI484" s="7" t="s">
        <v>450</v>
      </c>
      <c r="AJ484" s="7"/>
      <c r="AK484" s="7"/>
      <c r="AL484" s="9"/>
      <c r="AM484" s="7" t="s">
        <v>67</v>
      </c>
      <c r="AN484" s="7" t="s">
        <v>2847</v>
      </c>
      <c r="AO484" s="10" t="s">
        <v>2545</v>
      </c>
    </row>
    <row r="485" spans="1:41" s="11" customFormat="1" ht="24" x14ac:dyDescent="0.25">
      <c r="A485" s="2">
        <v>484</v>
      </c>
      <c r="B485" s="7" t="s">
        <v>419</v>
      </c>
      <c r="C485" s="7" t="s">
        <v>439</v>
      </c>
      <c r="D485" s="7" t="s">
        <v>440</v>
      </c>
      <c r="E485" s="7">
        <v>28</v>
      </c>
      <c r="F485" s="8">
        <v>1</v>
      </c>
      <c r="G485" s="8">
        <v>2</v>
      </c>
      <c r="H485" s="7">
        <v>2</v>
      </c>
      <c r="I485" s="7">
        <v>2</v>
      </c>
      <c r="J485" s="9" t="s">
        <v>35</v>
      </c>
      <c r="K485" s="7">
        <v>1</v>
      </c>
      <c r="L485" s="7" t="s">
        <v>52</v>
      </c>
      <c r="M485" s="7">
        <f t="shared" si="34"/>
        <v>1</v>
      </c>
      <c r="N485" s="9" t="s">
        <v>36</v>
      </c>
      <c r="O485" s="7">
        <v>0</v>
      </c>
      <c r="P485" s="9" t="s">
        <v>33</v>
      </c>
      <c r="Q485" s="7" t="s">
        <v>38</v>
      </c>
      <c r="R485" s="7" t="s">
        <v>38</v>
      </c>
      <c r="S485" s="7" t="s">
        <v>307</v>
      </c>
      <c r="T485" s="7"/>
      <c r="U485" s="7"/>
      <c r="V485" s="7"/>
      <c r="W485" s="7"/>
      <c r="X485" s="7">
        <v>5</v>
      </c>
      <c r="Y485" s="7"/>
      <c r="Z485" s="7"/>
      <c r="AA485" s="7"/>
      <c r="AB485" s="7">
        <f t="shared" si="35"/>
        <v>1.6666666666666667</v>
      </c>
      <c r="AC485" s="7">
        <f t="shared" si="36"/>
        <v>1.6666666666666667</v>
      </c>
      <c r="AD485" s="7">
        <v>1</v>
      </c>
      <c r="AE485" s="7"/>
      <c r="AF485" s="7" t="s">
        <v>40</v>
      </c>
      <c r="AG485" s="7" t="s">
        <v>407</v>
      </c>
      <c r="AH485" s="7"/>
      <c r="AI485" s="7"/>
      <c r="AJ485" s="7"/>
      <c r="AK485" s="7"/>
      <c r="AL485" s="9"/>
      <c r="AM485" s="7" t="s">
        <v>42</v>
      </c>
      <c r="AN485" s="7" t="s">
        <v>42</v>
      </c>
      <c r="AO485" s="12"/>
    </row>
    <row r="486" spans="1:41" s="11" customFormat="1" x14ac:dyDescent="0.25">
      <c r="A486" s="2">
        <v>485</v>
      </c>
      <c r="B486" s="7" t="s">
        <v>419</v>
      </c>
      <c r="C486" s="7" t="s">
        <v>104</v>
      </c>
      <c r="D486" s="7">
        <v>13</v>
      </c>
      <c r="E486" s="7">
        <v>13</v>
      </c>
      <c r="F486" s="8">
        <v>1</v>
      </c>
      <c r="G486" s="8">
        <v>1</v>
      </c>
      <c r="H486" s="7">
        <v>1</v>
      </c>
      <c r="I486" s="7">
        <v>1</v>
      </c>
      <c r="J486" s="9" t="s">
        <v>35</v>
      </c>
      <c r="K486" s="7">
        <v>1</v>
      </c>
      <c r="L486" s="7" t="s">
        <v>52</v>
      </c>
      <c r="M486" s="7">
        <f t="shared" si="34"/>
        <v>1</v>
      </c>
      <c r="N486" s="9" t="s">
        <v>36</v>
      </c>
      <c r="O486" s="7">
        <v>0</v>
      </c>
      <c r="P486" s="9" t="s">
        <v>63</v>
      </c>
      <c r="Q486" s="7" t="s">
        <v>38</v>
      </c>
      <c r="R486" s="7" t="s">
        <v>38</v>
      </c>
      <c r="S486" s="10" t="s">
        <v>1784</v>
      </c>
      <c r="T486" s="7"/>
      <c r="U486" s="7"/>
      <c r="V486" s="7"/>
      <c r="W486" s="7"/>
      <c r="X486" s="7">
        <v>3</v>
      </c>
      <c r="Y486" s="7"/>
      <c r="Z486" s="7"/>
      <c r="AA486" s="7"/>
      <c r="AB486" s="7">
        <f t="shared" si="35"/>
        <v>1</v>
      </c>
      <c r="AC486" s="7">
        <f t="shared" si="36"/>
        <v>1</v>
      </c>
      <c r="AD486" s="7"/>
      <c r="AE486" s="7">
        <v>1</v>
      </c>
      <c r="AF486" s="7" t="s">
        <v>40</v>
      </c>
      <c r="AG486" s="7" t="s">
        <v>441</v>
      </c>
      <c r="AH486" s="7"/>
      <c r="AI486" s="7"/>
      <c r="AJ486" s="7"/>
      <c r="AK486" s="7"/>
      <c r="AL486" s="9"/>
      <c r="AM486" s="7" t="s">
        <v>71</v>
      </c>
      <c r="AN486" s="7" t="s">
        <v>71</v>
      </c>
      <c r="AO486" s="7"/>
    </row>
    <row r="487" spans="1:41" s="11" customFormat="1" x14ac:dyDescent="0.25">
      <c r="A487" s="2">
        <v>486</v>
      </c>
      <c r="B487" s="7" t="s">
        <v>419</v>
      </c>
      <c r="C487" s="7" t="s">
        <v>104</v>
      </c>
      <c r="D487" s="7">
        <v>12</v>
      </c>
      <c r="E487" s="7">
        <v>12</v>
      </c>
      <c r="F487" s="8">
        <v>1</v>
      </c>
      <c r="G487" s="8">
        <v>1</v>
      </c>
      <c r="H487" s="7">
        <v>1</v>
      </c>
      <c r="I487" s="7">
        <v>1</v>
      </c>
      <c r="J487" s="9" t="s">
        <v>35</v>
      </c>
      <c r="K487" s="7">
        <v>1</v>
      </c>
      <c r="L487" s="7" t="s">
        <v>52</v>
      </c>
      <c r="M487" s="7">
        <f t="shared" si="34"/>
        <v>1</v>
      </c>
      <c r="N487" s="9" t="s">
        <v>34</v>
      </c>
      <c r="O487" s="7">
        <v>0</v>
      </c>
      <c r="P487" s="9" t="s">
        <v>63</v>
      </c>
      <c r="Q487" s="7" t="s">
        <v>38</v>
      </c>
      <c r="R487" s="7" t="s">
        <v>38</v>
      </c>
      <c r="S487" s="10" t="s">
        <v>1785</v>
      </c>
      <c r="T487" s="7"/>
      <c r="U487" s="7"/>
      <c r="V487" s="7"/>
      <c r="W487" s="7"/>
      <c r="X487" s="7">
        <v>3</v>
      </c>
      <c r="Y487" s="7"/>
      <c r="Z487" s="7"/>
      <c r="AA487" s="7"/>
      <c r="AB487" s="7">
        <f t="shared" si="35"/>
        <v>1</v>
      </c>
      <c r="AC487" s="7">
        <f t="shared" si="36"/>
        <v>1</v>
      </c>
      <c r="AD487" s="7"/>
      <c r="AE487" s="7">
        <v>1</v>
      </c>
      <c r="AF487" s="7" t="s">
        <v>40</v>
      </c>
      <c r="AG487" s="7" t="s">
        <v>138</v>
      </c>
      <c r="AH487" s="7"/>
      <c r="AI487" s="7"/>
      <c r="AJ487" s="7"/>
      <c r="AK487" s="7"/>
      <c r="AL487" s="9"/>
      <c r="AM487" s="7" t="s">
        <v>71</v>
      </c>
      <c r="AN487" s="7" t="s">
        <v>71</v>
      </c>
      <c r="AO487" s="7"/>
    </row>
    <row r="488" spans="1:41" s="11" customFormat="1" x14ac:dyDescent="0.25">
      <c r="A488" s="2">
        <v>487</v>
      </c>
      <c r="B488" s="7" t="s">
        <v>419</v>
      </c>
      <c r="C488" s="7" t="s">
        <v>249</v>
      </c>
      <c r="D488" s="7" t="s">
        <v>442</v>
      </c>
      <c r="E488" s="7">
        <v>10</v>
      </c>
      <c r="F488" s="8">
        <v>2</v>
      </c>
      <c r="G488" s="8">
        <v>2</v>
      </c>
      <c r="H488" s="7" t="s">
        <v>87</v>
      </c>
      <c r="I488" s="7">
        <v>2</v>
      </c>
      <c r="J488" s="9" t="s">
        <v>35</v>
      </c>
      <c r="K488" s="7">
        <v>2</v>
      </c>
      <c r="L488" s="7" t="s">
        <v>52</v>
      </c>
      <c r="M488" s="7">
        <f t="shared" si="34"/>
        <v>2</v>
      </c>
      <c r="N488" s="9" t="s">
        <v>34</v>
      </c>
      <c r="O488" s="7">
        <v>0</v>
      </c>
      <c r="P488" s="9" t="s">
        <v>33</v>
      </c>
      <c r="Q488" s="7" t="s">
        <v>38</v>
      </c>
      <c r="R488" s="7" t="s">
        <v>38</v>
      </c>
      <c r="S488" s="10" t="s">
        <v>1786</v>
      </c>
      <c r="T488" s="7"/>
      <c r="U488" s="7"/>
      <c r="V488" s="7"/>
      <c r="W488" s="7"/>
      <c r="X488" s="7">
        <v>3</v>
      </c>
      <c r="Y488" s="7"/>
      <c r="Z488" s="7"/>
      <c r="AA488" s="7"/>
      <c r="AB488" s="7">
        <f t="shared" si="35"/>
        <v>1</v>
      </c>
      <c r="AC488" s="7">
        <f t="shared" si="36"/>
        <v>1</v>
      </c>
      <c r="AD488" s="7"/>
      <c r="AE488" s="7">
        <v>2</v>
      </c>
      <c r="AF488" s="7" t="s">
        <v>40</v>
      </c>
      <c r="AG488" s="7"/>
      <c r="AH488" s="7"/>
      <c r="AI488" s="7"/>
      <c r="AJ488" s="7"/>
      <c r="AK488" s="7"/>
      <c r="AL488" s="9"/>
      <c r="AM488" s="7" t="s">
        <v>71</v>
      </c>
      <c r="AN488" s="7" t="s">
        <v>71</v>
      </c>
      <c r="AO488" s="12"/>
    </row>
    <row r="489" spans="1:41" s="11" customFormat="1" x14ac:dyDescent="0.25">
      <c r="A489" s="2">
        <v>488</v>
      </c>
      <c r="B489" s="7" t="s">
        <v>419</v>
      </c>
      <c r="C489" s="7" t="s">
        <v>119</v>
      </c>
      <c r="D489" s="7">
        <v>2</v>
      </c>
      <c r="E489" s="7">
        <v>2</v>
      </c>
      <c r="F489" s="8">
        <v>1</v>
      </c>
      <c r="G489" s="8">
        <v>1</v>
      </c>
      <c r="H489" s="7">
        <v>1</v>
      </c>
      <c r="I489" s="7">
        <v>1</v>
      </c>
      <c r="J489" s="9" t="s">
        <v>70</v>
      </c>
      <c r="K489" s="7">
        <v>1</v>
      </c>
      <c r="L489" s="7" t="s">
        <v>52</v>
      </c>
      <c r="M489" s="7">
        <f t="shared" si="34"/>
        <v>1</v>
      </c>
      <c r="N489" s="9" t="s">
        <v>34</v>
      </c>
      <c r="O489" s="7">
        <v>0</v>
      </c>
      <c r="P489" s="9" t="s">
        <v>63</v>
      </c>
      <c r="Q489" s="7" t="s">
        <v>38</v>
      </c>
      <c r="R489" s="7" t="s">
        <v>38</v>
      </c>
      <c r="S489" s="10" t="s">
        <v>1546</v>
      </c>
      <c r="T489" s="7"/>
      <c r="U489" s="7"/>
      <c r="V489" s="7"/>
      <c r="W489" s="7"/>
      <c r="X489" s="7"/>
      <c r="Y489" s="7"/>
      <c r="Z489" s="7"/>
      <c r="AA489" s="7"/>
      <c r="AB489" s="7">
        <v>0.33333333333333298</v>
      </c>
      <c r="AC489" s="7">
        <f t="shared" si="36"/>
        <v>0.33333333333333298</v>
      </c>
      <c r="AD489" s="7"/>
      <c r="AE489" s="7"/>
      <c r="AF489" s="7" t="s">
        <v>40</v>
      </c>
      <c r="AG489" s="7" t="s">
        <v>120</v>
      </c>
      <c r="AH489" s="7"/>
      <c r="AI489" s="7"/>
      <c r="AJ489" s="7"/>
      <c r="AK489" s="7"/>
      <c r="AL489" s="9"/>
      <c r="AM489" s="7" t="s">
        <v>71</v>
      </c>
      <c r="AN489" s="7" t="s">
        <v>71</v>
      </c>
      <c r="AO489" s="7"/>
    </row>
    <row r="490" spans="1:41" s="11" customFormat="1" x14ac:dyDescent="0.25">
      <c r="A490" s="2">
        <v>489</v>
      </c>
      <c r="B490" s="7" t="s">
        <v>419</v>
      </c>
      <c r="C490" s="7" t="s">
        <v>89</v>
      </c>
      <c r="D490" s="7" t="s">
        <v>443</v>
      </c>
      <c r="E490" s="7">
        <f>23+9+6</f>
        <v>38</v>
      </c>
      <c r="F490" s="8">
        <v>4</v>
      </c>
      <c r="G490" s="8">
        <v>4</v>
      </c>
      <c r="H490" s="7" t="s">
        <v>91</v>
      </c>
      <c r="I490" s="7">
        <v>4</v>
      </c>
      <c r="J490" s="9" t="s">
        <v>35</v>
      </c>
      <c r="K490" s="7">
        <v>1</v>
      </c>
      <c r="L490" s="7" t="s">
        <v>52</v>
      </c>
      <c r="M490" s="7">
        <f t="shared" si="34"/>
        <v>4</v>
      </c>
      <c r="N490" s="9" t="s">
        <v>34</v>
      </c>
      <c r="O490" s="7">
        <v>0</v>
      </c>
      <c r="P490" s="9" t="s">
        <v>34</v>
      </c>
      <c r="Q490" s="7" t="s">
        <v>38</v>
      </c>
      <c r="R490" s="7" t="s">
        <v>38</v>
      </c>
      <c r="S490" s="10" t="s">
        <v>1744</v>
      </c>
      <c r="T490" s="7"/>
      <c r="U490" s="7"/>
      <c r="V490" s="7"/>
      <c r="W490" s="7"/>
      <c r="X490" s="7">
        <v>3</v>
      </c>
      <c r="Y490" s="7"/>
      <c r="Z490" s="7"/>
      <c r="AA490" s="7"/>
      <c r="AB490" s="7">
        <f t="shared" ref="AB490:AB517" si="37">(U490+X490+Z490)/3</f>
        <v>1</v>
      </c>
      <c r="AC490" s="7">
        <f t="shared" si="36"/>
        <v>1</v>
      </c>
      <c r="AD490" s="7"/>
      <c r="AE490" s="7"/>
      <c r="AF490" s="7"/>
      <c r="AG490" s="7"/>
      <c r="AH490" s="7"/>
      <c r="AI490" s="7"/>
      <c r="AJ490" s="7"/>
      <c r="AK490" s="7"/>
      <c r="AL490" s="9"/>
      <c r="AM490" s="7" t="s">
        <v>71</v>
      </c>
      <c r="AN490" s="7" t="s">
        <v>71</v>
      </c>
      <c r="AO490" s="12"/>
    </row>
    <row r="491" spans="1:41" s="11" customFormat="1" x14ac:dyDescent="0.25">
      <c r="A491" s="2">
        <v>490</v>
      </c>
      <c r="B491" s="7" t="s">
        <v>419</v>
      </c>
      <c r="C491" s="7" t="s">
        <v>89</v>
      </c>
      <c r="D491" s="7" t="s">
        <v>444</v>
      </c>
      <c r="E491" s="7">
        <v>18</v>
      </c>
      <c r="F491" s="8">
        <v>3</v>
      </c>
      <c r="G491" s="8">
        <v>3</v>
      </c>
      <c r="H491" s="7" t="s">
        <v>97</v>
      </c>
      <c r="I491" s="7">
        <v>3</v>
      </c>
      <c r="J491" s="9" t="s">
        <v>35</v>
      </c>
      <c r="K491" s="7">
        <v>1</v>
      </c>
      <c r="L491" s="7" t="s">
        <v>52</v>
      </c>
      <c r="M491" s="7">
        <f t="shared" si="34"/>
        <v>3</v>
      </c>
      <c r="N491" s="9" t="s">
        <v>34</v>
      </c>
      <c r="O491" s="7">
        <v>0</v>
      </c>
      <c r="P491" s="9" t="s">
        <v>63</v>
      </c>
      <c r="Q491" s="7" t="s">
        <v>38</v>
      </c>
      <c r="R491" s="7" t="s">
        <v>38</v>
      </c>
      <c r="S491" s="7" t="s">
        <v>445</v>
      </c>
      <c r="T491" s="7"/>
      <c r="U491" s="7"/>
      <c r="V491" s="7"/>
      <c r="W491" s="7"/>
      <c r="X491" s="7">
        <v>3</v>
      </c>
      <c r="Y491" s="7"/>
      <c r="Z491" s="7"/>
      <c r="AA491" s="7"/>
      <c r="AB491" s="7">
        <f t="shared" si="37"/>
        <v>1</v>
      </c>
      <c r="AC491" s="7">
        <f t="shared" si="36"/>
        <v>1</v>
      </c>
      <c r="AD491" s="7"/>
      <c r="AE491" s="7"/>
      <c r="AF491" s="7"/>
      <c r="AG491" s="7"/>
      <c r="AH491" s="7"/>
      <c r="AI491" s="7"/>
      <c r="AJ491" s="7"/>
      <c r="AK491" s="7"/>
      <c r="AL491" s="9"/>
      <c r="AM491" s="7" t="s">
        <v>71</v>
      </c>
      <c r="AN491" s="7" t="s">
        <v>71</v>
      </c>
      <c r="AO491" s="12"/>
    </row>
    <row r="492" spans="1:41" s="11" customFormat="1" x14ac:dyDescent="0.25">
      <c r="A492" s="2">
        <v>491</v>
      </c>
      <c r="B492" s="7" t="s">
        <v>419</v>
      </c>
      <c r="C492" s="7" t="s">
        <v>100</v>
      </c>
      <c r="D492" s="7">
        <v>5</v>
      </c>
      <c r="E492" s="7">
        <v>5</v>
      </c>
      <c r="F492" s="8">
        <v>1</v>
      </c>
      <c r="G492" s="8">
        <v>1</v>
      </c>
      <c r="H492" s="7">
        <v>1</v>
      </c>
      <c r="I492" s="7">
        <v>1</v>
      </c>
      <c r="J492" s="9" t="s">
        <v>35</v>
      </c>
      <c r="K492" s="7">
        <v>1</v>
      </c>
      <c r="L492" s="7" t="s">
        <v>52</v>
      </c>
      <c r="M492" s="7">
        <f t="shared" si="34"/>
        <v>1</v>
      </c>
      <c r="N492" s="9" t="s">
        <v>36</v>
      </c>
      <c r="O492" s="7">
        <v>0</v>
      </c>
      <c r="P492" s="9" t="s">
        <v>33</v>
      </c>
      <c r="Q492" s="7" t="s">
        <v>38</v>
      </c>
      <c r="R492" s="7" t="s">
        <v>38</v>
      </c>
      <c r="S492" s="7"/>
      <c r="T492" s="7"/>
      <c r="U492" s="7"/>
      <c r="V492" s="7"/>
      <c r="W492" s="7"/>
      <c r="X492" s="7">
        <v>3</v>
      </c>
      <c r="Y492" s="7"/>
      <c r="Z492" s="7"/>
      <c r="AA492" s="7"/>
      <c r="AB492" s="7">
        <f t="shared" si="37"/>
        <v>1</v>
      </c>
      <c r="AC492" s="7">
        <f t="shared" si="36"/>
        <v>1</v>
      </c>
      <c r="AD492" s="7"/>
      <c r="AE492" s="7"/>
      <c r="AF492" s="7"/>
      <c r="AG492" s="7"/>
      <c r="AH492" s="7"/>
      <c r="AI492" s="7"/>
      <c r="AJ492" s="7"/>
      <c r="AK492" s="7"/>
      <c r="AL492" s="9"/>
      <c r="AM492" s="7" t="s">
        <v>71</v>
      </c>
      <c r="AN492" s="7" t="s">
        <v>71</v>
      </c>
      <c r="AO492" s="12"/>
    </row>
    <row r="493" spans="1:41" s="11" customFormat="1" x14ac:dyDescent="0.25">
      <c r="A493" s="2">
        <v>492</v>
      </c>
      <c r="B493" s="7" t="s">
        <v>419</v>
      </c>
      <c r="C493" s="7" t="s">
        <v>89</v>
      </c>
      <c r="D493" s="7" t="s">
        <v>446</v>
      </c>
      <c r="E493" s="7">
        <f>22+10+6</f>
        <v>38</v>
      </c>
      <c r="F493" s="8">
        <v>5</v>
      </c>
      <c r="G493" s="8">
        <v>5</v>
      </c>
      <c r="H493" s="7" t="s">
        <v>345</v>
      </c>
      <c r="I493" s="7">
        <v>5</v>
      </c>
      <c r="J493" s="9" t="s">
        <v>35</v>
      </c>
      <c r="K493" s="7">
        <v>1</v>
      </c>
      <c r="L493" s="7" t="s">
        <v>52</v>
      </c>
      <c r="M493" s="7">
        <f t="shared" si="34"/>
        <v>5</v>
      </c>
      <c r="N493" s="9" t="s">
        <v>82</v>
      </c>
      <c r="O493" s="7">
        <v>0</v>
      </c>
      <c r="P493" s="9" t="s">
        <v>36</v>
      </c>
      <c r="Q493" s="7" t="s">
        <v>38</v>
      </c>
      <c r="R493" s="7" t="s">
        <v>38</v>
      </c>
      <c r="S493" s="10" t="s">
        <v>1787</v>
      </c>
      <c r="T493" s="7"/>
      <c r="U493" s="7"/>
      <c r="V493" s="7"/>
      <c r="W493" s="7"/>
      <c r="X493" s="7">
        <v>3</v>
      </c>
      <c r="Y493" s="7"/>
      <c r="Z493" s="7"/>
      <c r="AA493" s="7"/>
      <c r="AB493" s="7">
        <f t="shared" si="37"/>
        <v>1</v>
      </c>
      <c r="AC493" s="7">
        <f t="shared" si="36"/>
        <v>1</v>
      </c>
      <c r="AD493" s="7"/>
      <c r="AE493" s="7"/>
      <c r="AF493" s="7"/>
      <c r="AG493" s="7"/>
      <c r="AH493" s="7"/>
      <c r="AI493" s="7"/>
      <c r="AJ493" s="7"/>
      <c r="AK493" s="7"/>
      <c r="AL493" s="9"/>
      <c r="AM493" s="7" t="s">
        <v>71</v>
      </c>
      <c r="AN493" s="7" t="s">
        <v>71</v>
      </c>
      <c r="AO493" s="12"/>
    </row>
    <row r="494" spans="1:41" s="11" customFormat="1" ht="24" x14ac:dyDescent="0.25">
      <c r="A494" s="2">
        <v>493</v>
      </c>
      <c r="B494" s="7" t="s">
        <v>419</v>
      </c>
      <c r="C494" s="7" t="s">
        <v>100</v>
      </c>
      <c r="D494" s="7">
        <v>106</v>
      </c>
      <c r="E494" s="7">
        <v>106</v>
      </c>
      <c r="F494" s="8">
        <v>1</v>
      </c>
      <c r="G494" s="8">
        <v>1</v>
      </c>
      <c r="H494" s="7">
        <v>1</v>
      </c>
      <c r="I494" s="7">
        <v>1</v>
      </c>
      <c r="J494" s="9" t="s">
        <v>35</v>
      </c>
      <c r="K494" s="7">
        <v>1</v>
      </c>
      <c r="L494" s="7" t="s">
        <v>52</v>
      </c>
      <c r="M494" s="7">
        <f t="shared" si="34"/>
        <v>1</v>
      </c>
      <c r="N494" s="9" t="s">
        <v>36</v>
      </c>
      <c r="O494" s="7">
        <v>0</v>
      </c>
      <c r="P494" s="9" t="s">
        <v>37</v>
      </c>
      <c r="Q494" s="7" t="s">
        <v>38</v>
      </c>
      <c r="R494" s="7" t="s">
        <v>38</v>
      </c>
      <c r="S494" s="10" t="s">
        <v>447</v>
      </c>
      <c r="T494" s="7"/>
      <c r="U494" s="7"/>
      <c r="V494" s="7"/>
      <c r="W494" s="7"/>
      <c r="X494" s="7">
        <v>3</v>
      </c>
      <c r="Y494" s="7"/>
      <c r="Z494" s="7"/>
      <c r="AA494" s="7"/>
      <c r="AB494" s="7">
        <f t="shared" si="37"/>
        <v>1</v>
      </c>
      <c r="AC494" s="7">
        <f t="shared" si="36"/>
        <v>1</v>
      </c>
      <c r="AD494" s="7"/>
      <c r="AE494" s="7"/>
      <c r="AF494" s="7"/>
      <c r="AG494" s="7"/>
      <c r="AH494" s="7"/>
      <c r="AI494" s="7"/>
      <c r="AJ494" s="7"/>
      <c r="AK494" s="7"/>
      <c r="AL494" s="9"/>
      <c r="AM494" s="7" t="s">
        <v>71</v>
      </c>
      <c r="AN494" s="7" t="s">
        <v>71</v>
      </c>
      <c r="AO494" s="7"/>
    </row>
    <row r="495" spans="1:41" s="11" customFormat="1" x14ac:dyDescent="0.25">
      <c r="A495" s="2">
        <v>494</v>
      </c>
      <c r="B495" s="7" t="s">
        <v>419</v>
      </c>
      <c r="C495" s="7" t="s">
        <v>89</v>
      </c>
      <c r="D495" s="7">
        <v>5</v>
      </c>
      <c r="E495" s="7">
        <v>5</v>
      </c>
      <c r="F495" s="8">
        <v>1</v>
      </c>
      <c r="G495" s="8">
        <v>2</v>
      </c>
      <c r="H495" s="7">
        <v>2</v>
      </c>
      <c r="I495" s="7">
        <v>2</v>
      </c>
      <c r="J495" s="9" t="s">
        <v>35</v>
      </c>
      <c r="K495" s="7">
        <v>2</v>
      </c>
      <c r="L495" s="7" t="s">
        <v>52</v>
      </c>
      <c r="M495" s="7">
        <f t="shared" si="34"/>
        <v>1</v>
      </c>
      <c r="N495" s="9" t="s">
        <v>34</v>
      </c>
      <c r="O495" s="7">
        <v>0</v>
      </c>
      <c r="P495" s="9" t="s">
        <v>36</v>
      </c>
      <c r="Q495" s="7" t="s">
        <v>38</v>
      </c>
      <c r="R495" s="7" t="s">
        <v>38</v>
      </c>
      <c r="S495" s="10" t="s">
        <v>1788</v>
      </c>
      <c r="T495" s="7"/>
      <c r="U495" s="7"/>
      <c r="V495" s="7"/>
      <c r="W495" s="7"/>
      <c r="X495" s="7">
        <v>3</v>
      </c>
      <c r="Y495" s="7"/>
      <c r="Z495" s="7"/>
      <c r="AA495" s="7"/>
      <c r="AB495" s="7">
        <f t="shared" si="37"/>
        <v>1</v>
      </c>
      <c r="AC495" s="7">
        <f t="shared" si="36"/>
        <v>1</v>
      </c>
      <c r="AD495" s="7"/>
      <c r="AE495" s="7"/>
      <c r="AF495" s="7"/>
      <c r="AG495" s="7"/>
      <c r="AH495" s="7"/>
      <c r="AI495" s="7"/>
      <c r="AJ495" s="7"/>
      <c r="AK495" s="7"/>
      <c r="AL495" s="9"/>
      <c r="AM495" s="7" t="s">
        <v>71</v>
      </c>
      <c r="AN495" s="7" t="s">
        <v>71</v>
      </c>
      <c r="AO495" s="12"/>
    </row>
    <row r="496" spans="1:41" s="11" customFormat="1" x14ac:dyDescent="0.25">
      <c r="A496" s="2">
        <v>495</v>
      </c>
      <c r="B496" s="7" t="s">
        <v>419</v>
      </c>
      <c r="C496" s="7" t="s">
        <v>89</v>
      </c>
      <c r="D496" s="7" t="s">
        <v>448</v>
      </c>
      <c r="E496" s="7">
        <f>16+12+4</f>
        <v>32</v>
      </c>
      <c r="F496" s="8">
        <v>5</v>
      </c>
      <c r="G496" s="8">
        <v>5</v>
      </c>
      <c r="H496" s="7" t="s">
        <v>345</v>
      </c>
      <c r="I496" s="7">
        <v>5</v>
      </c>
      <c r="J496" s="9" t="s">
        <v>35</v>
      </c>
      <c r="K496" s="7">
        <v>2</v>
      </c>
      <c r="L496" s="7" t="s">
        <v>52</v>
      </c>
      <c r="M496" s="7">
        <f t="shared" si="34"/>
        <v>5</v>
      </c>
      <c r="N496" s="9" t="s">
        <v>36</v>
      </c>
      <c r="O496" s="7">
        <v>0</v>
      </c>
      <c r="P496" s="9" t="s">
        <v>33</v>
      </c>
      <c r="Q496" s="7" t="s">
        <v>38</v>
      </c>
      <c r="R496" s="7" t="s">
        <v>38</v>
      </c>
      <c r="S496" s="10" t="s">
        <v>1789</v>
      </c>
      <c r="T496" s="7"/>
      <c r="U496" s="7"/>
      <c r="V496" s="7"/>
      <c r="W496" s="7"/>
      <c r="X496" s="7">
        <v>3</v>
      </c>
      <c r="Y496" s="7"/>
      <c r="Z496" s="7"/>
      <c r="AA496" s="7"/>
      <c r="AB496" s="7">
        <f t="shared" si="37"/>
        <v>1</v>
      </c>
      <c r="AC496" s="7">
        <f t="shared" si="36"/>
        <v>1</v>
      </c>
      <c r="AD496" s="7"/>
      <c r="AE496" s="7"/>
      <c r="AF496" s="7"/>
      <c r="AG496" s="7"/>
      <c r="AH496" s="7"/>
      <c r="AI496" s="7"/>
      <c r="AJ496" s="7"/>
      <c r="AK496" s="7"/>
      <c r="AL496" s="9"/>
      <c r="AM496" s="7" t="s">
        <v>71</v>
      </c>
      <c r="AN496" s="7" t="s">
        <v>71</v>
      </c>
      <c r="AO496" s="12"/>
    </row>
    <row r="497" spans="1:41" s="11" customFormat="1" x14ac:dyDescent="0.25">
      <c r="A497" s="2">
        <v>496</v>
      </c>
      <c r="B497" s="7" t="s">
        <v>419</v>
      </c>
      <c r="C497" s="7" t="s">
        <v>100</v>
      </c>
      <c r="D497" s="7">
        <v>4</v>
      </c>
      <c r="E497" s="7">
        <v>4</v>
      </c>
      <c r="F497" s="8">
        <v>1</v>
      </c>
      <c r="G497" s="8">
        <v>1</v>
      </c>
      <c r="H497" s="7">
        <v>1</v>
      </c>
      <c r="I497" s="7">
        <v>1</v>
      </c>
      <c r="J497" s="9" t="s">
        <v>35</v>
      </c>
      <c r="K497" s="7">
        <v>1</v>
      </c>
      <c r="L497" s="7" t="s">
        <v>52</v>
      </c>
      <c r="M497" s="7">
        <f t="shared" si="34"/>
        <v>1</v>
      </c>
      <c r="N497" s="9" t="s">
        <v>34</v>
      </c>
      <c r="O497" s="7">
        <v>0</v>
      </c>
      <c r="P497" s="9" t="s">
        <v>33</v>
      </c>
      <c r="Q497" s="7" t="s">
        <v>38</v>
      </c>
      <c r="R497" s="7" t="s">
        <v>38</v>
      </c>
      <c r="S497" s="10" t="s">
        <v>1539</v>
      </c>
      <c r="T497" s="7"/>
      <c r="U497" s="7"/>
      <c r="V497" s="7"/>
      <c r="W497" s="7"/>
      <c r="X497" s="7">
        <v>3</v>
      </c>
      <c r="Y497" s="7"/>
      <c r="Z497" s="7"/>
      <c r="AA497" s="7"/>
      <c r="AB497" s="7">
        <f t="shared" si="37"/>
        <v>1</v>
      </c>
      <c r="AC497" s="7">
        <f t="shared" si="36"/>
        <v>1</v>
      </c>
      <c r="AD497" s="7"/>
      <c r="AE497" s="7"/>
      <c r="AF497" s="7"/>
      <c r="AG497" s="7"/>
      <c r="AH497" s="7"/>
      <c r="AI497" s="7"/>
      <c r="AJ497" s="7"/>
      <c r="AK497" s="7"/>
      <c r="AL497" s="9"/>
      <c r="AM497" s="7" t="s">
        <v>71</v>
      </c>
      <c r="AN497" s="7" t="s">
        <v>71</v>
      </c>
      <c r="AO497" s="12"/>
    </row>
    <row r="498" spans="1:41" s="11" customFormat="1" x14ac:dyDescent="0.25">
      <c r="A498" s="2">
        <v>497</v>
      </c>
      <c r="B498" s="7" t="s">
        <v>419</v>
      </c>
      <c r="C498" s="7" t="s">
        <v>89</v>
      </c>
      <c r="D498" s="7" t="s">
        <v>449</v>
      </c>
      <c r="E498" s="7">
        <f>16+10+9+7+5+4</f>
        <v>51</v>
      </c>
      <c r="F498" s="8">
        <v>6</v>
      </c>
      <c r="G498" s="8">
        <v>6</v>
      </c>
      <c r="H498" s="7" t="s">
        <v>397</v>
      </c>
      <c r="I498" s="7">
        <v>6</v>
      </c>
      <c r="J498" s="9" t="s">
        <v>35</v>
      </c>
      <c r="K498" s="7">
        <v>2</v>
      </c>
      <c r="L498" s="7" t="s">
        <v>52</v>
      </c>
      <c r="M498" s="7">
        <f t="shared" si="34"/>
        <v>6</v>
      </c>
      <c r="N498" s="9" t="s">
        <v>82</v>
      </c>
      <c r="O498" s="7">
        <v>0</v>
      </c>
      <c r="P498" s="9" t="s">
        <v>36</v>
      </c>
      <c r="Q498" s="7" t="s">
        <v>38</v>
      </c>
      <c r="R498" s="7" t="s">
        <v>38</v>
      </c>
      <c r="S498" s="10" t="s">
        <v>1790</v>
      </c>
      <c r="T498" s="7"/>
      <c r="U498" s="7"/>
      <c r="V498" s="7"/>
      <c r="W498" s="7"/>
      <c r="X498" s="7">
        <v>3</v>
      </c>
      <c r="Y498" s="7"/>
      <c r="Z498" s="7"/>
      <c r="AA498" s="7"/>
      <c r="AB498" s="7">
        <f t="shared" si="37"/>
        <v>1</v>
      </c>
      <c r="AC498" s="7">
        <f t="shared" si="36"/>
        <v>1</v>
      </c>
      <c r="AD498" s="7"/>
      <c r="AE498" s="7"/>
      <c r="AF498" s="7"/>
      <c r="AG498" s="7"/>
      <c r="AH498" s="7"/>
      <c r="AI498" s="7"/>
      <c r="AJ498" s="7"/>
      <c r="AK498" s="7"/>
      <c r="AL498" s="9"/>
      <c r="AM498" s="7" t="s">
        <v>71</v>
      </c>
      <c r="AN498" s="7" t="s">
        <v>71</v>
      </c>
      <c r="AO498" s="12"/>
    </row>
    <row r="499" spans="1:41" s="11" customFormat="1" x14ac:dyDescent="0.25">
      <c r="A499" s="2">
        <v>498</v>
      </c>
      <c r="B499" s="7" t="s">
        <v>419</v>
      </c>
      <c r="C499" s="7" t="s">
        <v>100</v>
      </c>
      <c r="D499" s="7">
        <v>5</v>
      </c>
      <c r="E499" s="7">
        <v>5</v>
      </c>
      <c r="F499" s="8">
        <v>1</v>
      </c>
      <c r="G499" s="8">
        <v>1</v>
      </c>
      <c r="H499" s="7">
        <v>1</v>
      </c>
      <c r="I499" s="7">
        <v>1</v>
      </c>
      <c r="J499" s="9" t="s">
        <v>70</v>
      </c>
      <c r="K499" s="7"/>
      <c r="L499" s="7" t="s">
        <v>52</v>
      </c>
      <c r="M499" s="7">
        <f t="shared" si="34"/>
        <v>1</v>
      </c>
      <c r="N499" s="9"/>
      <c r="O499" s="7"/>
      <c r="P499" s="9"/>
      <c r="Q499" s="7" t="s">
        <v>38</v>
      </c>
      <c r="R499" s="7" t="s">
        <v>38</v>
      </c>
      <c r="S499" s="10" t="s">
        <v>450</v>
      </c>
      <c r="T499" s="7"/>
      <c r="U499" s="7"/>
      <c r="V499" s="7"/>
      <c r="W499" s="7"/>
      <c r="X499" s="7">
        <v>3</v>
      </c>
      <c r="Y499" s="7"/>
      <c r="Z499" s="7"/>
      <c r="AA499" s="7"/>
      <c r="AB499" s="7">
        <f t="shared" si="37"/>
        <v>1</v>
      </c>
      <c r="AC499" s="7">
        <f t="shared" si="36"/>
        <v>1</v>
      </c>
      <c r="AD499" s="7"/>
      <c r="AE499" s="7"/>
      <c r="AF499" s="7"/>
      <c r="AG499" s="7"/>
      <c r="AH499" s="7"/>
      <c r="AI499" s="7" t="s">
        <v>450</v>
      </c>
      <c r="AJ499" s="7"/>
      <c r="AK499" s="7"/>
      <c r="AL499" s="9"/>
      <c r="AM499" s="7" t="s">
        <v>71</v>
      </c>
      <c r="AN499" s="7" t="s">
        <v>71</v>
      </c>
      <c r="AO499" s="12"/>
    </row>
    <row r="500" spans="1:41" s="11" customFormat="1" x14ac:dyDescent="0.25">
      <c r="A500" s="2">
        <v>499</v>
      </c>
      <c r="B500" s="7" t="s">
        <v>419</v>
      </c>
      <c r="C500" s="7" t="s">
        <v>104</v>
      </c>
      <c r="D500" s="7">
        <v>2</v>
      </c>
      <c r="E500" s="7">
        <v>2</v>
      </c>
      <c r="F500" s="8">
        <v>1</v>
      </c>
      <c r="G500" s="8">
        <v>1</v>
      </c>
      <c r="H500" s="7">
        <v>1</v>
      </c>
      <c r="I500" s="7">
        <v>1</v>
      </c>
      <c r="J500" s="9" t="s">
        <v>35</v>
      </c>
      <c r="K500" s="7">
        <v>1</v>
      </c>
      <c r="L500" s="7" t="s">
        <v>52</v>
      </c>
      <c r="M500" s="7">
        <f t="shared" si="34"/>
        <v>1</v>
      </c>
      <c r="N500" s="9" t="s">
        <v>34</v>
      </c>
      <c r="O500" s="7">
        <v>0</v>
      </c>
      <c r="P500" s="9" t="s">
        <v>33</v>
      </c>
      <c r="Q500" s="7" t="s">
        <v>38</v>
      </c>
      <c r="R500" s="7" t="s">
        <v>38</v>
      </c>
      <c r="S500" s="10" t="s">
        <v>1539</v>
      </c>
      <c r="T500" s="7"/>
      <c r="U500" s="7"/>
      <c r="V500" s="7"/>
      <c r="W500" s="7"/>
      <c r="X500" s="7">
        <v>3</v>
      </c>
      <c r="Y500" s="7"/>
      <c r="Z500" s="7"/>
      <c r="AA500" s="7"/>
      <c r="AB500" s="7">
        <f t="shared" si="37"/>
        <v>1</v>
      </c>
      <c r="AC500" s="7">
        <f t="shared" si="36"/>
        <v>1</v>
      </c>
      <c r="AD500" s="7"/>
      <c r="AE500" s="7">
        <v>1</v>
      </c>
      <c r="AF500" s="7"/>
      <c r="AG500" s="7"/>
      <c r="AH500" s="7" t="s">
        <v>451</v>
      </c>
      <c r="AI500" s="7"/>
      <c r="AJ500" s="7"/>
      <c r="AK500" s="7"/>
      <c r="AL500" s="9"/>
      <c r="AM500" s="7" t="s">
        <v>71</v>
      </c>
      <c r="AN500" s="7" t="s">
        <v>71</v>
      </c>
      <c r="AO500" s="12"/>
    </row>
    <row r="501" spans="1:41" s="11" customFormat="1" x14ac:dyDescent="0.25">
      <c r="A501" s="2">
        <v>500</v>
      </c>
      <c r="B501" s="7" t="s">
        <v>419</v>
      </c>
      <c r="C501" s="7" t="s">
        <v>100</v>
      </c>
      <c r="D501" s="7">
        <v>8</v>
      </c>
      <c r="E501" s="7">
        <v>8</v>
      </c>
      <c r="F501" s="8">
        <v>1</v>
      </c>
      <c r="G501" s="8">
        <v>1</v>
      </c>
      <c r="H501" s="7">
        <v>1</v>
      </c>
      <c r="I501" s="7">
        <v>1</v>
      </c>
      <c r="J501" s="9" t="s">
        <v>176</v>
      </c>
      <c r="K501" s="7">
        <v>1</v>
      </c>
      <c r="L501" s="7" t="s">
        <v>52</v>
      </c>
      <c r="M501" s="7">
        <f t="shared" si="34"/>
        <v>1</v>
      </c>
      <c r="N501" s="9" t="s">
        <v>177</v>
      </c>
      <c r="O501" s="7">
        <v>0</v>
      </c>
      <c r="P501" s="9" t="s">
        <v>63</v>
      </c>
      <c r="Q501" s="7" t="s">
        <v>38</v>
      </c>
      <c r="R501" s="7" t="s">
        <v>38</v>
      </c>
      <c r="S501" s="10" t="s">
        <v>452</v>
      </c>
      <c r="T501" s="7"/>
      <c r="U501" s="7"/>
      <c r="V501" s="7"/>
      <c r="W501" s="7"/>
      <c r="X501" s="7">
        <v>3</v>
      </c>
      <c r="Y501" s="7"/>
      <c r="Z501" s="7"/>
      <c r="AA501" s="7"/>
      <c r="AB501" s="7">
        <f t="shared" si="37"/>
        <v>1</v>
      </c>
      <c r="AC501" s="7">
        <f t="shared" si="36"/>
        <v>1</v>
      </c>
      <c r="AD501" s="7"/>
      <c r="AE501" s="7"/>
      <c r="AF501" s="7"/>
      <c r="AG501" s="7"/>
      <c r="AH501" s="7"/>
      <c r="AI501" s="7"/>
      <c r="AJ501" s="7"/>
      <c r="AK501" s="7"/>
      <c r="AL501" s="9"/>
      <c r="AM501" s="7" t="s">
        <v>71</v>
      </c>
      <c r="AN501" s="7" t="s">
        <v>71</v>
      </c>
      <c r="AO501" s="12"/>
    </row>
    <row r="502" spans="1:41" s="11" customFormat="1" x14ac:dyDescent="0.25">
      <c r="A502" s="2">
        <v>501</v>
      </c>
      <c r="B502" s="7" t="s">
        <v>419</v>
      </c>
      <c r="C502" s="7" t="s">
        <v>78</v>
      </c>
      <c r="D502" s="7">
        <v>27</v>
      </c>
      <c r="E502" s="7">
        <v>27</v>
      </c>
      <c r="F502" s="8">
        <v>1</v>
      </c>
      <c r="G502" s="8">
        <v>1</v>
      </c>
      <c r="H502" s="7">
        <v>1</v>
      </c>
      <c r="I502" s="7">
        <v>1</v>
      </c>
      <c r="J502" s="9" t="s">
        <v>176</v>
      </c>
      <c r="K502" s="9" t="s">
        <v>268</v>
      </c>
      <c r="L502" s="7" t="s">
        <v>52</v>
      </c>
      <c r="M502" s="7">
        <f t="shared" si="34"/>
        <v>1</v>
      </c>
      <c r="N502" s="9" t="s">
        <v>177</v>
      </c>
      <c r="O502" s="7">
        <v>0</v>
      </c>
      <c r="P502" s="9" t="s">
        <v>63</v>
      </c>
      <c r="Q502" s="9" t="s">
        <v>38</v>
      </c>
      <c r="R502" s="9" t="s">
        <v>52</v>
      </c>
      <c r="S502" s="13" t="s">
        <v>1791</v>
      </c>
      <c r="T502" s="7">
        <v>10</v>
      </c>
      <c r="U502" s="7">
        <v>10</v>
      </c>
      <c r="V502" s="7">
        <v>240</v>
      </c>
      <c r="W502" s="7" t="s">
        <v>214</v>
      </c>
      <c r="X502" s="7"/>
      <c r="Y502" s="7"/>
      <c r="Z502" s="7"/>
      <c r="AA502" s="7"/>
      <c r="AB502" s="7">
        <f t="shared" si="37"/>
        <v>3.3333333333333335</v>
      </c>
      <c r="AC502" s="7">
        <f t="shared" si="36"/>
        <v>3.3333333333333335</v>
      </c>
      <c r="AD502" s="7"/>
      <c r="AE502" s="7"/>
      <c r="AF502" s="7"/>
      <c r="AG502" s="7"/>
      <c r="AH502" s="7"/>
      <c r="AI502" s="7"/>
      <c r="AJ502" s="7"/>
      <c r="AK502" s="7"/>
      <c r="AL502" s="9"/>
      <c r="AM502" s="7" t="s">
        <v>215</v>
      </c>
      <c r="AN502" s="7" t="s">
        <v>2850</v>
      </c>
      <c r="AO502" s="12"/>
    </row>
    <row r="503" spans="1:41" s="11" customFormat="1" x14ac:dyDescent="0.25">
      <c r="A503" s="2">
        <v>502</v>
      </c>
      <c r="B503" s="7" t="s">
        <v>419</v>
      </c>
      <c r="C503" s="7" t="s">
        <v>100</v>
      </c>
      <c r="D503" s="7">
        <v>26</v>
      </c>
      <c r="E503" s="7">
        <v>26</v>
      </c>
      <c r="F503" s="8">
        <v>1</v>
      </c>
      <c r="G503" s="8">
        <v>1</v>
      </c>
      <c r="H503" s="7">
        <v>1</v>
      </c>
      <c r="I503" s="7">
        <v>1</v>
      </c>
      <c r="J503" s="9" t="s">
        <v>176</v>
      </c>
      <c r="K503" s="7">
        <v>8</v>
      </c>
      <c r="L503" s="7" t="s">
        <v>52</v>
      </c>
      <c r="M503" s="7">
        <f t="shared" si="34"/>
        <v>1</v>
      </c>
      <c r="N503" s="9" t="s">
        <v>177</v>
      </c>
      <c r="O503" s="7">
        <v>0</v>
      </c>
      <c r="P503" s="9" t="s">
        <v>63</v>
      </c>
      <c r="Q503" s="7" t="s">
        <v>38</v>
      </c>
      <c r="R503" s="7" t="s">
        <v>52</v>
      </c>
      <c r="S503" s="10" t="s">
        <v>1792</v>
      </c>
      <c r="T503" s="7"/>
      <c r="U503" s="7"/>
      <c r="V503" s="7"/>
      <c r="W503" s="7"/>
      <c r="X503" s="7">
        <v>3</v>
      </c>
      <c r="Y503" s="7"/>
      <c r="Z503" s="7"/>
      <c r="AA503" s="7"/>
      <c r="AB503" s="7">
        <f t="shared" si="37"/>
        <v>1</v>
      </c>
      <c r="AC503" s="7">
        <f t="shared" si="36"/>
        <v>1</v>
      </c>
      <c r="AD503" s="7"/>
      <c r="AE503" s="7"/>
      <c r="AF503" s="7"/>
      <c r="AG503" s="7"/>
      <c r="AH503" s="7"/>
      <c r="AI503" s="7"/>
      <c r="AJ503" s="7"/>
      <c r="AK503" s="7"/>
      <c r="AL503" s="9"/>
      <c r="AM503" s="7" t="s">
        <v>71</v>
      </c>
      <c r="AN503" s="7" t="s">
        <v>71</v>
      </c>
      <c r="AO503" s="12"/>
    </row>
    <row r="504" spans="1:41" s="11" customFormat="1" x14ac:dyDescent="0.25">
      <c r="A504" s="2">
        <v>503</v>
      </c>
      <c r="B504" s="7" t="s">
        <v>419</v>
      </c>
      <c r="C504" s="7" t="s">
        <v>100</v>
      </c>
      <c r="D504" s="7">
        <v>40</v>
      </c>
      <c r="E504" s="7">
        <v>40</v>
      </c>
      <c r="F504" s="8">
        <v>1</v>
      </c>
      <c r="G504" s="8">
        <v>1</v>
      </c>
      <c r="H504" s="7">
        <v>1</v>
      </c>
      <c r="I504" s="7">
        <v>1</v>
      </c>
      <c r="J504" s="9" t="s">
        <v>176</v>
      </c>
      <c r="K504" s="7">
        <v>3</v>
      </c>
      <c r="L504" s="7" t="s">
        <v>52</v>
      </c>
      <c r="M504" s="7">
        <f t="shared" si="34"/>
        <v>1</v>
      </c>
      <c r="N504" s="9" t="s">
        <v>177</v>
      </c>
      <c r="O504" s="7">
        <v>0</v>
      </c>
      <c r="P504" s="9" t="s">
        <v>63</v>
      </c>
      <c r="Q504" s="7" t="s">
        <v>38</v>
      </c>
      <c r="R504" s="7" t="s">
        <v>52</v>
      </c>
      <c r="S504" s="10" t="s">
        <v>1565</v>
      </c>
      <c r="T504" s="7"/>
      <c r="U504" s="7"/>
      <c r="V504" s="7"/>
      <c r="W504" s="7"/>
      <c r="X504" s="7">
        <v>3</v>
      </c>
      <c r="Y504" s="7"/>
      <c r="Z504" s="7"/>
      <c r="AA504" s="7"/>
      <c r="AB504" s="7">
        <f t="shared" si="37"/>
        <v>1</v>
      </c>
      <c r="AC504" s="7">
        <f t="shared" si="36"/>
        <v>1</v>
      </c>
      <c r="AD504" s="7"/>
      <c r="AE504" s="7"/>
      <c r="AF504" s="7"/>
      <c r="AG504" s="7"/>
      <c r="AH504" s="7"/>
      <c r="AI504" s="7"/>
      <c r="AJ504" s="7"/>
      <c r="AK504" s="7"/>
      <c r="AL504" s="9"/>
      <c r="AM504" s="7" t="s">
        <v>71</v>
      </c>
      <c r="AN504" s="7" t="s">
        <v>71</v>
      </c>
      <c r="AO504" s="12"/>
    </row>
    <row r="505" spans="1:41" s="11" customFormat="1" ht="48" x14ac:dyDescent="0.25">
      <c r="A505" s="2">
        <v>504</v>
      </c>
      <c r="B505" s="7" t="s">
        <v>419</v>
      </c>
      <c r="C505" s="7" t="s">
        <v>78</v>
      </c>
      <c r="D505" s="7">
        <v>16</v>
      </c>
      <c r="E505" s="7">
        <v>16</v>
      </c>
      <c r="F505" s="8">
        <v>1</v>
      </c>
      <c r="G505" s="8">
        <v>1</v>
      </c>
      <c r="H505" s="7">
        <v>1</v>
      </c>
      <c r="I505" s="7">
        <v>1</v>
      </c>
      <c r="J505" s="9" t="s">
        <v>176</v>
      </c>
      <c r="K505" s="7">
        <v>3</v>
      </c>
      <c r="L505" s="7" t="s">
        <v>52</v>
      </c>
      <c r="M505" s="7">
        <f t="shared" si="34"/>
        <v>1</v>
      </c>
      <c r="N505" s="9" t="s">
        <v>177</v>
      </c>
      <c r="O505" s="7">
        <v>0</v>
      </c>
      <c r="P505" s="9" t="s">
        <v>63</v>
      </c>
      <c r="Q505" s="7" t="s">
        <v>38</v>
      </c>
      <c r="R505" s="7" t="s">
        <v>52</v>
      </c>
      <c r="S505" s="10" t="s">
        <v>1793</v>
      </c>
      <c r="T505" s="7" t="s">
        <v>92</v>
      </c>
      <c r="U505" s="7">
        <v>3</v>
      </c>
      <c r="V505" s="7" t="s">
        <v>199</v>
      </c>
      <c r="W505" s="7" t="s">
        <v>453</v>
      </c>
      <c r="X505" s="7"/>
      <c r="Y505" s="7"/>
      <c r="Z505" s="7"/>
      <c r="AA505" s="7"/>
      <c r="AB505" s="7">
        <f t="shared" si="37"/>
        <v>1</v>
      </c>
      <c r="AC505" s="7">
        <f t="shared" si="36"/>
        <v>1</v>
      </c>
      <c r="AD505" s="7"/>
      <c r="AE505" s="7"/>
      <c r="AF505" s="7"/>
      <c r="AG505" s="7"/>
      <c r="AH505" s="7"/>
      <c r="AI505" s="7"/>
      <c r="AJ505" s="7"/>
      <c r="AK505" s="7"/>
      <c r="AL505" s="9"/>
      <c r="AM505" s="7" t="s">
        <v>215</v>
      </c>
      <c r="AN505" s="7" t="s">
        <v>2850</v>
      </c>
      <c r="AO505" s="12"/>
    </row>
    <row r="506" spans="1:41" s="11" customFormat="1" x14ac:dyDescent="0.25">
      <c r="A506" s="2">
        <v>505</v>
      </c>
      <c r="B506" s="7" t="s">
        <v>419</v>
      </c>
      <c r="C506" s="7" t="s">
        <v>100</v>
      </c>
      <c r="D506" s="7">
        <v>2</v>
      </c>
      <c r="E506" s="7">
        <v>2</v>
      </c>
      <c r="F506" s="8">
        <v>1</v>
      </c>
      <c r="G506" s="8">
        <v>1</v>
      </c>
      <c r="H506" s="7">
        <v>1</v>
      </c>
      <c r="I506" s="7">
        <v>1</v>
      </c>
      <c r="J506" s="9" t="s">
        <v>290</v>
      </c>
      <c r="K506" s="7">
        <v>3</v>
      </c>
      <c r="L506" s="7" t="s">
        <v>52</v>
      </c>
      <c r="M506" s="7">
        <f t="shared" si="34"/>
        <v>1</v>
      </c>
      <c r="N506" s="9" t="s">
        <v>33</v>
      </c>
      <c r="O506" s="7">
        <v>0</v>
      </c>
      <c r="P506" s="9" t="s">
        <v>63</v>
      </c>
      <c r="Q506" s="7" t="s">
        <v>38</v>
      </c>
      <c r="R506" s="7" t="s">
        <v>38</v>
      </c>
      <c r="S506" s="7"/>
      <c r="T506" s="7"/>
      <c r="U506" s="7"/>
      <c r="V506" s="7"/>
      <c r="W506" s="7"/>
      <c r="X506" s="7">
        <v>3</v>
      </c>
      <c r="Y506" s="7"/>
      <c r="Z506" s="7"/>
      <c r="AA506" s="7"/>
      <c r="AB506" s="7">
        <f t="shared" si="37"/>
        <v>1</v>
      </c>
      <c r="AC506" s="7">
        <f t="shared" si="36"/>
        <v>1</v>
      </c>
      <c r="AD506" s="7"/>
      <c r="AE506" s="7"/>
      <c r="AF506" s="7"/>
      <c r="AG506" s="7"/>
      <c r="AH506" s="7"/>
      <c r="AI506" s="7"/>
      <c r="AJ506" s="7"/>
      <c r="AK506" s="7"/>
      <c r="AL506" s="9"/>
      <c r="AM506" s="7" t="s">
        <v>71</v>
      </c>
      <c r="AN506" s="7" t="s">
        <v>71</v>
      </c>
      <c r="AO506" s="12"/>
    </row>
    <row r="507" spans="1:41" s="11" customFormat="1" ht="24" x14ac:dyDescent="0.25">
      <c r="A507" s="2">
        <v>506</v>
      </c>
      <c r="B507" s="7" t="s">
        <v>419</v>
      </c>
      <c r="C507" s="7" t="s">
        <v>78</v>
      </c>
      <c r="D507" s="7">
        <v>100</v>
      </c>
      <c r="E507" s="7">
        <v>100</v>
      </c>
      <c r="F507" s="8">
        <v>1</v>
      </c>
      <c r="G507" s="8">
        <v>1</v>
      </c>
      <c r="H507" s="7">
        <v>1</v>
      </c>
      <c r="I507" s="7">
        <v>1</v>
      </c>
      <c r="J507" s="9" t="s">
        <v>219</v>
      </c>
      <c r="K507" s="7">
        <v>1</v>
      </c>
      <c r="L507" s="7" t="s">
        <v>52</v>
      </c>
      <c r="M507" s="7">
        <f t="shared" si="34"/>
        <v>1</v>
      </c>
      <c r="N507" s="9" t="s">
        <v>82</v>
      </c>
      <c r="O507" s="7">
        <v>0</v>
      </c>
      <c r="P507" s="9" t="s">
        <v>36</v>
      </c>
      <c r="Q507" s="7" t="s">
        <v>38</v>
      </c>
      <c r="R507" s="7" t="s">
        <v>38</v>
      </c>
      <c r="S507" s="10" t="s">
        <v>1794</v>
      </c>
      <c r="T507" s="7">
        <v>16</v>
      </c>
      <c r="U507" s="7">
        <v>16</v>
      </c>
      <c r="V507" s="7">
        <v>190</v>
      </c>
      <c r="W507" s="7" t="s">
        <v>239</v>
      </c>
      <c r="X507" s="7"/>
      <c r="Y507" s="7"/>
      <c r="Z507" s="7"/>
      <c r="AA507" s="7"/>
      <c r="AB507" s="7">
        <f t="shared" si="37"/>
        <v>5.333333333333333</v>
      </c>
      <c r="AC507" s="7">
        <f t="shared" si="36"/>
        <v>5.333333333333333</v>
      </c>
      <c r="AD507" s="7"/>
      <c r="AE507" s="7">
        <v>1</v>
      </c>
      <c r="AF507" s="7" t="s">
        <v>40</v>
      </c>
      <c r="AG507" s="7" t="s">
        <v>454</v>
      </c>
      <c r="AH507" s="7"/>
      <c r="AI507" s="7"/>
      <c r="AJ507" s="7"/>
      <c r="AK507" s="7"/>
      <c r="AL507" s="9"/>
      <c r="AM507" s="7" t="s">
        <v>376</v>
      </c>
      <c r="AN507" s="7" t="s">
        <v>662</v>
      </c>
      <c r="AO507" s="12"/>
    </row>
    <row r="508" spans="1:41" s="11" customFormat="1" ht="24" x14ac:dyDescent="0.25">
      <c r="A508" s="2">
        <v>507</v>
      </c>
      <c r="B508" s="7" t="s">
        <v>419</v>
      </c>
      <c r="C508" s="7" t="s">
        <v>269</v>
      </c>
      <c r="D508" s="7" t="s">
        <v>455</v>
      </c>
      <c r="E508" s="7">
        <v>68</v>
      </c>
      <c r="F508" s="8">
        <v>1</v>
      </c>
      <c r="G508" s="8">
        <v>2</v>
      </c>
      <c r="H508" s="7">
        <v>2</v>
      </c>
      <c r="I508" s="7">
        <v>2</v>
      </c>
      <c r="J508" s="9" t="s">
        <v>219</v>
      </c>
      <c r="K508" s="7">
        <v>1</v>
      </c>
      <c r="L508" s="7" t="s">
        <v>52</v>
      </c>
      <c r="M508" s="7">
        <f t="shared" si="34"/>
        <v>1</v>
      </c>
      <c r="N508" s="9" t="s">
        <v>34</v>
      </c>
      <c r="O508" s="7">
        <v>0</v>
      </c>
      <c r="P508" s="9" t="s">
        <v>36</v>
      </c>
      <c r="Q508" s="7" t="s">
        <v>38</v>
      </c>
      <c r="R508" s="7" t="s">
        <v>38</v>
      </c>
      <c r="S508" s="10" t="s">
        <v>1795</v>
      </c>
      <c r="T508" s="7">
        <v>7</v>
      </c>
      <c r="U508" s="7">
        <v>7</v>
      </c>
      <c r="V508" s="7">
        <v>150</v>
      </c>
      <c r="W508" s="7" t="s">
        <v>456</v>
      </c>
      <c r="X508" s="7"/>
      <c r="Y508" s="7"/>
      <c r="Z508" s="7"/>
      <c r="AA508" s="7"/>
      <c r="AB508" s="7">
        <f t="shared" si="37"/>
        <v>2.3333333333333335</v>
      </c>
      <c r="AC508" s="7">
        <f t="shared" si="36"/>
        <v>2.3333333333333335</v>
      </c>
      <c r="AD508" s="7"/>
      <c r="AE508" s="7"/>
      <c r="AF508" s="7"/>
      <c r="AG508" s="7"/>
      <c r="AH508" s="7"/>
      <c r="AI508" s="7"/>
      <c r="AJ508" s="7"/>
      <c r="AK508" s="10" t="s">
        <v>2442</v>
      </c>
      <c r="AL508" s="9"/>
      <c r="AM508" s="7" t="s">
        <v>457</v>
      </c>
      <c r="AN508" s="7" t="s">
        <v>662</v>
      </c>
      <c r="AO508" s="12"/>
    </row>
    <row r="509" spans="1:41" s="11" customFormat="1" x14ac:dyDescent="0.25">
      <c r="A509" s="2">
        <v>508</v>
      </c>
      <c r="B509" s="7" t="s">
        <v>419</v>
      </c>
      <c r="C509" s="7" t="s">
        <v>89</v>
      </c>
      <c r="D509" s="7" t="s">
        <v>458</v>
      </c>
      <c r="E509" s="7">
        <v>15</v>
      </c>
      <c r="F509" s="8">
        <v>2</v>
      </c>
      <c r="G509" s="8">
        <v>2</v>
      </c>
      <c r="H509" s="7" t="s">
        <v>87</v>
      </c>
      <c r="I509" s="7">
        <v>2</v>
      </c>
      <c r="J509" s="9" t="s">
        <v>219</v>
      </c>
      <c r="K509" s="7">
        <v>1</v>
      </c>
      <c r="L509" s="7" t="s">
        <v>52</v>
      </c>
      <c r="M509" s="7">
        <f t="shared" si="34"/>
        <v>2</v>
      </c>
      <c r="N509" s="9" t="s">
        <v>82</v>
      </c>
      <c r="O509" s="7">
        <v>0</v>
      </c>
      <c r="P509" s="9" t="s">
        <v>36</v>
      </c>
      <c r="Q509" s="7" t="s">
        <v>38</v>
      </c>
      <c r="R509" s="7" t="s">
        <v>52</v>
      </c>
      <c r="S509" s="10" t="s">
        <v>1796</v>
      </c>
      <c r="T509" s="7"/>
      <c r="U509" s="7"/>
      <c r="V509" s="7"/>
      <c r="W509" s="7"/>
      <c r="X509" s="7">
        <v>3</v>
      </c>
      <c r="Y509" s="7"/>
      <c r="Z509" s="7"/>
      <c r="AA509" s="7"/>
      <c r="AB509" s="7">
        <f t="shared" si="37"/>
        <v>1</v>
      </c>
      <c r="AC509" s="7">
        <f t="shared" si="36"/>
        <v>1</v>
      </c>
      <c r="AD509" s="7"/>
      <c r="AE509" s="7"/>
      <c r="AF509" s="7"/>
      <c r="AG509" s="7"/>
      <c r="AH509" s="7"/>
      <c r="AI509" s="7"/>
      <c r="AJ509" s="7"/>
      <c r="AK509" s="7"/>
      <c r="AL509" s="9"/>
      <c r="AM509" s="7" t="s">
        <v>71</v>
      </c>
      <c r="AN509" s="7" t="s">
        <v>71</v>
      </c>
      <c r="AO509" s="12"/>
    </row>
    <row r="510" spans="1:41" s="11" customFormat="1" x14ac:dyDescent="0.25">
      <c r="A510" s="2">
        <v>509</v>
      </c>
      <c r="B510" s="7" t="s">
        <v>419</v>
      </c>
      <c r="C510" s="7" t="s">
        <v>100</v>
      </c>
      <c r="D510" s="7">
        <v>3</v>
      </c>
      <c r="E510" s="7">
        <v>3</v>
      </c>
      <c r="F510" s="8">
        <v>1</v>
      </c>
      <c r="G510" s="8">
        <v>1</v>
      </c>
      <c r="H510" s="7">
        <v>1</v>
      </c>
      <c r="I510" s="7">
        <v>1</v>
      </c>
      <c r="J510" s="9" t="s">
        <v>219</v>
      </c>
      <c r="K510" s="7">
        <v>1</v>
      </c>
      <c r="L510" s="7" t="s">
        <v>52</v>
      </c>
      <c r="M510" s="7">
        <f t="shared" si="34"/>
        <v>1</v>
      </c>
      <c r="N510" s="9" t="s">
        <v>34</v>
      </c>
      <c r="O510" s="7">
        <v>0</v>
      </c>
      <c r="P510" s="9" t="s">
        <v>63</v>
      </c>
      <c r="Q510" s="7" t="s">
        <v>38</v>
      </c>
      <c r="R510" s="7" t="s">
        <v>52</v>
      </c>
      <c r="S510" s="10" t="s">
        <v>1797</v>
      </c>
      <c r="T510" s="7"/>
      <c r="U510" s="7"/>
      <c r="V510" s="7"/>
      <c r="W510" s="7"/>
      <c r="X510" s="7">
        <v>3</v>
      </c>
      <c r="Y510" s="7"/>
      <c r="Z510" s="7"/>
      <c r="AA510" s="7"/>
      <c r="AB510" s="7">
        <f t="shared" si="37"/>
        <v>1</v>
      </c>
      <c r="AC510" s="7">
        <f t="shared" si="36"/>
        <v>1</v>
      </c>
      <c r="AD510" s="7"/>
      <c r="AE510" s="7"/>
      <c r="AF510" s="7"/>
      <c r="AG510" s="7"/>
      <c r="AH510" s="7"/>
      <c r="AI510" s="7"/>
      <c r="AJ510" s="7"/>
      <c r="AK510" s="7"/>
      <c r="AL510" s="9"/>
      <c r="AM510" s="7" t="s">
        <v>71</v>
      </c>
      <c r="AN510" s="7" t="s">
        <v>71</v>
      </c>
      <c r="AO510" s="12"/>
    </row>
    <row r="511" spans="1:41" s="11" customFormat="1" x14ac:dyDescent="0.25">
      <c r="A511" s="2">
        <v>510</v>
      </c>
      <c r="B511" s="7" t="s">
        <v>419</v>
      </c>
      <c r="C511" s="7" t="s">
        <v>100</v>
      </c>
      <c r="D511" s="7">
        <v>55</v>
      </c>
      <c r="E511" s="7">
        <v>55</v>
      </c>
      <c r="F511" s="8">
        <v>1</v>
      </c>
      <c r="G511" s="8">
        <v>1</v>
      </c>
      <c r="H511" s="7">
        <v>1</v>
      </c>
      <c r="I511" s="7">
        <v>1</v>
      </c>
      <c r="J511" s="9" t="s">
        <v>219</v>
      </c>
      <c r="K511" s="7">
        <v>1</v>
      </c>
      <c r="L511" s="7" t="s">
        <v>52</v>
      </c>
      <c r="M511" s="7">
        <f t="shared" si="34"/>
        <v>1</v>
      </c>
      <c r="N511" s="9" t="s">
        <v>34</v>
      </c>
      <c r="O511" s="7">
        <v>0</v>
      </c>
      <c r="P511" s="9" t="s">
        <v>36</v>
      </c>
      <c r="Q511" s="7" t="s">
        <v>38</v>
      </c>
      <c r="R511" s="7" t="s">
        <v>38</v>
      </c>
      <c r="S511" s="10" t="s">
        <v>1530</v>
      </c>
      <c r="T511" s="7"/>
      <c r="U511" s="7"/>
      <c r="V511" s="7"/>
      <c r="W511" s="7"/>
      <c r="X511" s="7">
        <v>3</v>
      </c>
      <c r="Y511" s="7"/>
      <c r="Z511" s="7"/>
      <c r="AA511" s="7"/>
      <c r="AB511" s="7">
        <f t="shared" si="37"/>
        <v>1</v>
      </c>
      <c r="AC511" s="7">
        <f t="shared" si="36"/>
        <v>1</v>
      </c>
      <c r="AD511" s="7"/>
      <c r="AE511" s="7"/>
      <c r="AF511" s="7"/>
      <c r="AG511" s="7"/>
      <c r="AH511" s="7"/>
      <c r="AI511" s="7"/>
      <c r="AJ511" s="7"/>
      <c r="AK511" s="7"/>
      <c r="AL511" s="9"/>
      <c r="AM511" s="7" t="s">
        <v>71</v>
      </c>
      <c r="AN511" s="7" t="s">
        <v>71</v>
      </c>
      <c r="AO511" s="12"/>
    </row>
    <row r="512" spans="1:41" s="11" customFormat="1" x14ac:dyDescent="0.25">
      <c r="A512" s="2">
        <v>511</v>
      </c>
      <c r="B512" s="7" t="s">
        <v>419</v>
      </c>
      <c r="C512" s="7" t="s">
        <v>100</v>
      </c>
      <c r="D512" s="7">
        <v>16</v>
      </c>
      <c r="E512" s="7">
        <v>16</v>
      </c>
      <c r="F512" s="8">
        <v>1</v>
      </c>
      <c r="G512" s="8">
        <v>1</v>
      </c>
      <c r="H512" s="7">
        <v>1</v>
      </c>
      <c r="I512" s="7">
        <v>1</v>
      </c>
      <c r="J512" s="9" t="s">
        <v>219</v>
      </c>
      <c r="K512" s="7">
        <v>6</v>
      </c>
      <c r="L512" s="7" t="s">
        <v>52</v>
      </c>
      <c r="M512" s="7">
        <f t="shared" si="34"/>
        <v>1</v>
      </c>
      <c r="N512" s="9" t="s">
        <v>34</v>
      </c>
      <c r="O512" s="7">
        <v>0</v>
      </c>
      <c r="P512" s="9" t="s">
        <v>63</v>
      </c>
      <c r="Q512" s="7" t="s">
        <v>52</v>
      </c>
      <c r="R512" s="7" t="s">
        <v>38</v>
      </c>
      <c r="S512" s="10" t="s">
        <v>1798</v>
      </c>
      <c r="T512" s="7"/>
      <c r="U512" s="7"/>
      <c r="V512" s="7"/>
      <c r="W512" s="7"/>
      <c r="X512" s="7">
        <v>3</v>
      </c>
      <c r="Y512" s="7"/>
      <c r="Z512" s="7"/>
      <c r="AA512" s="7"/>
      <c r="AB512" s="7">
        <f t="shared" si="37"/>
        <v>1</v>
      </c>
      <c r="AC512" s="7">
        <f t="shared" si="36"/>
        <v>1</v>
      </c>
      <c r="AD512" s="7"/>
      <c r="AE512" s="7"/>
      <c r="AF512" s="7"/>
      <c r="AG512" s="7"/>
      <c r="AH512" s="7"/>
      <c r="AI512" s="7"/>
      <c r="AJ512" s="7"/>
      <c r="AK512" s="7"/>
      <c r="AL512" s="9"/>
      <c r="AM512" s="7" t="s">
        <v>71</v>
      </c>
      <c r="AN512" s="7" t="s">
        <v>71</v>
      </c>
      <c r="AO512" s="12"/>
    </row>
    <row r="513" spans="1:41" s="11" customFormat="1" ht="24" x14ac:dyDescent="0.25">
      <c r="A513" s="2">
        <v>512</v>
      </c>
      <c r="B513" s="7" t="s">
        <v>419</v>
      </c>
      <c r="C513" s="7" t="s">
        <v>459</v>
      </c>
      <c r="D513" s="7" t="s">
        <v>460</v>
      </c>
      <c r="E513" s="7">
        <f>155+95+41+7</f>
        <v>298</v>
      </c>
      <c r="F513" s="8">
        <v>1</v>
      </c>
      <c r="G513" s="8">
        <v>5</v>
      </c>
      <c r="H513" s="7" t="s">
        <v>461</v>
      </c>
      <c r="I513" s="7">
        <v>5</v>
      </c>
      <c r="J513" s="9" t="s">
        <v>219</v>
      </c>
      <c r="K513" s="7">
        <v>5</v>
      </c>
      <c r="L513" s="7" t="s">
        <v>52</v>
      </c>
      <c r="M513" s="7">
        <f t="shared" si="34"/>
        <v>1</v>
      </c>
      <c r="N513" s="9" t="s">
        <v>34</v>
      </c>
      <c r="O513" s="7">
        <v>0</v>
      </c>
      <c r="P513" s="9" t="s">
        <v>63</v>
      </c>
      <c r="Q513" s="7" t="s">
        <v>38</v>
      </c>
      <c r="R513" s="7" t="s">
        <v>38</v>
      </c>
      <c r="S513" s="10" t="s">
        <v>1799</v>
      </c>
      <c r="T513" s="7">
        <v>10</v>
      </c>
      <c r="U513" s="7">
        <v>10</v>
      </c>
      <c r="V513" s="7">
        <v>140</v>
      </c>
      <c r="W513" s="7" t="s">
        <v>456</v>
      </c>
      <c r="X513" s="7"/>
      <c r="Y513" s="7"/>
      <c r="Z513" s="7"/>
      <c r="AA513" s="7"/>
      <c r="AB513" s="7">
        <f t="shared" si="37"/>
        <v>3.3333333333333335</v>
      </c>
      <c r="AC513" s="7">
        <f t="shared" si="36"/>
        <v>3.3333333333333335</v>
      </c>
      <c r="AD513" s="7">
        <v>1</v>
      </c>
      <c r="AE513" s="7"/>
      <c r="AF513" s="7" t="s">
        <v>40</v>
      </c>
      <c r="AG513" s="7" t="s">
        <v>462</v>
      </c>
      <c r="AH513" s="7"/>
      <c r="AI513" s="7"/>
      <c r="AJ513" s="10" t="s">
        <v>2351</v>
      </c>
      <c r="AK513" s="10" t="s">
        <v>2443</v>
      </c>
      <c r="AL513" s="9"/>
      <c r="AM513" s="7" t="s">
        <v>463</v>
      </c>
      <c r="AN513" s="7" t="s">
        <v>662</v>
      </c>
      <c r="AO513" s="12"/>
    </row>
    <row r="514" spans="1:41" s="11" customFormat="1" x14ac:dyDescent="0.25">
      <c r="A514" s="2">
        <v>513</v>
      </c>
      <c r="B514" s="7" t="s">
        <v>419</v>
      </c>
      <c r="C514" s="7" t="s">
        <v>89</v>
      </c>
      <c r="D514" s="7" t="s">
        <v>464</v>
      </c>
      <c r="E514" s="7">
        <f>67+13</f>
        <v>80</v>
      </c>
      <c r="F514" s="8">
        <v>1</v>
      </c>
      <c r="G514" s="8">
        <v>5</v>
      </c>
      <c r="H514" s="7" t="s">
        <v>465</v>
      </c>
      <c r="I514" s="7">
        <v>5</v>
      </c>
      <c r="J514" s="9" t="s">
        <v>219</v>
      </c>
      <c r="K514" s="7">
        <v>5</v>
      </c>
      <c r="L514" s="7" t="s">
        <v>52</v>
      </c>
      <c r="M514" s="7">
        <f t="shared" ref="M514:M577" si="38">IF(L514="n",F514,0)</f>
        <v>1</v>
      </c>
      <c r="N514" s="9" t="s">
        <v>34</v>
      </c>
      <c r="O514" s="7">
        <v>3</v>
      </c>
      <c r="P514" s="9" t="s">
        <v>34</v>
      </c>
      <c r="Q514" s="7" t="s">
        <v>38</v>
      </c>
      <c r="R514" s="7" t="s">
        <v>38</v>
      </c>
      <c r="S514" s="10" t="s">
        <v>1800</v>
      </c>
      <c r="T514" s="7"/>
      <c r="U514" s="7"/>
      <c r="V514" s="7"/>
      <c r="W514" s="7"/>
      <c r="X514" s="7">
        <v>3</v>
      </c>
      <c r="Y514" s="7"/>
      <c r="Z514" s="7"/>
      <c r="AA514" s="7"/>
      <c r="AB514" s="7">
        <f t="shared" si="37"/>
        <v>1</v>
      </c>
      <c r="AC514" s="7">
        <f t="shared" ref="AC514:AC577" si="39">IF(L514="n",AB514,0)</f>
        <v>1</v>
      </c>
      <c r="AD514" s="7"/>
      <c r="AE514" s="7"/>
      <c r="AF514" s="7"/>
      <c r="AG514" s="7"/>
      <c r="AH514" s="7"/>
      <c r="AI514" s="7"/>
      <c r="AJ514" s="7"/>
      <c r="AK514" s="7"/>
      <c r="AL514" s="9"/>
      <c r="AM514" s="7" t="s">
        <v>71</v>
      </c>
      <c r="AN514" s="7" t="s">
        <v>71</v>
      </c>
      <c r="AO514" s="12"/>
    </row>
    <row r="515" spans="1:41" s="11" customFormat="1" x14ac:dyDescent="0.25">
      <c r="A515" s="2">
        <v>514</v>
      </c>
      <c r="B515" s="7" t="s">
        <v>419</v>
      </c>
      <c r="C515" s="7" t="s">
        <v>100</v>
      </c>
      <c r="D515" s="7">
        <v>28</v>
      </c>
      <c r="E515" s="7">
        <v>28</v>
      </c>
      <c r="F515" s="8">
        <v>1</v>
      </c>
      <c r="G515" s="8">
        <v>1</v>
      </c>
      <c r="H515" s="7">
        <v>1</v>
      </c>
      <c r="I515" s="7">
        <v>1</v>
      </c>
      <c r="J515" s="9" t="s">
        <v>219</v>
      </c>
      <c r="K515" s="7">
        <v>5</v>
      </c>
      <c r="L515" s="7" t="s">
        <v>52</v>
      </c>
      <c r="M515" s="7">
        <f t="shared" si="38"/>
        <v>1</v>
      </c>
      <c r="N515" s="9" t="s">
        <v>34</v>
      </c>
      <c r="O515" s="7">
        <v>0</v>
      </c>
      <c r="P515" s="9" t="s">
        <v>37</v>
      </c>
      <c r="Q515" s="7" t="s">
        <v>38</v>
      </c>
      <c r="R515" s="7" t="s">
        <v>38</v>
      </c>
      <c r="S515" s="10" t="s">
        <v>1801</v>
      </c>
      <c r="T515" s="7"/>
      <c r="U515" s="7"/>
      <c r="V515" s="7"/>
      <c r="W515" s="7"/>
      <c r="X515" s="7">
        <v>3</v>
      </c>
      <c r="Y515" s="7"/>
      <c r="Z515" s="7"/>
      <c r="AA515" s="7"/>
      <c r="AB515" s="7">
        <f t="shared" si="37"/>
        <v>1</v>
      </c>
      <c r="AC515" s="7">
        <f t="shared" si="39"/>
        <v>1</v>
      </c>
      <c r="AD515" s="7"/>
      <c r="AE515" s="7"/>
      <c r="AF515" s="7"/>
      <c r="AG515" s="7"/>
      <c r="AH515" s="7"/>
      <c r="AI515" s="7"/>
      <c r="AJ515" s="7"/>
      <c r="AK515" s="7"/>
      <c r="AL515" s="9"/>
      <c r="AM515" s="7" t="s">
        <v>71</v>
      </c>
      <c r="AN515" s="7" t="s">
        <v>71</v>
      </c>
      <c r="AO515" s="12"/>
    </row>
    <row r="516" spans="1:41" s="11" customFormat="1" ht="24" x14ac:dyDescent="0.25">
      <c r="A516" s="2">
        <v>515</v>
      </c>
      <c r="B516" s="7" t="s">
        <v>419</v>
      </c>
      <c r="C516" s="7" t="s">
        <v>119</v>
      </c>
      <c r="D516" s="7">
        <v>98</v>
      </c>
      <c r="E516" s="7">
        <v>98</v>
      </c>
      <c r="F516" s="8">
        <v>1</v>
      </c>
      <c r="G516" s="8">
        <v>1</v>
      </c>
      <c r="H516" s="7">
        <v>1</v>
      </c>
      <c r="I516" s="7">
        <v>1</v>
      </c>
      <c r="J516" s="9" t="s">
        <v>219</v>
      </c>
      <c r="K516" s="7">
        <v>5</v>
      </c>
      <c r="L516" s="7" t="s">
        <v>52</v>
      </c>
      <c r="M516" s="7">
        <f t="shared" si="38"/>
        <v>1</v>
      </c>
      <c r="N516" s="9" t="s">
        <v>82</v>
      </c>
      <c r="O516" s="7">
        <v>0</v>
      </c>
      <c r="P516" s="9" t="s">
        <v>36</v>
      </c>
      <c r="Q516" s="7" t="s">
        <v>38</v>
      </c>
      <c r="R516" s="7" t="s">
        <v>38</v>
      </c>
      <c r="S516" s="10" t="s">
        <v>1802</v>
      </c>
      <c r="T516" s="7"/>
      <c r="U516" s="7"/>
      <c r="V516" s="7"/>
      <c r="W516" s="7"/>
      <c r="X516" s="7">
        <v>3</v>
      </c>
      <c r="Y516" s="7"/>
      <c r="Z516" s="7"/>
      <c r="AA516" s="7"/>
      <c r="AB516" s="7">
        <f t="shared" si="37"/>
        <v>1</v>
      </c>
      <c r="AC516" s="7">
        <f t="shared" si="39"/>
        <v>1</v>
      </c>
      <c r="AD516" s="7">
        <v>1</v>
      </c>
      <c r="AE516" s="7"/>
      <c r="AF516" s="7" t="s">
        <v>155</v>
      </c>
      <c r="AG516" s="7" t="s">
        <v>466</v>
      </c>
      <c r="AH516" s="7"/>
      <c r="AI516" s="7"/>
      <c r="AJ516" s="7"/>
      <c r="AK516" s="7"/>
      <c r="AL516" s="9"/>
      <c r="AM516" s="7" t="s">
        <v>71</v>
      </c>
      <c r="AN516" s="7" t="s">
        <v>71</v>
      </c>
      <c r="AO516" s="12"/>
    </row>
    <row r="517" spans="1:41" s="11" customFormat="1" ht="24" x14ac:dyDescent="0.25">
      <c r="A517" s="2">
        <v>516</v>
      </c>
      <c r="B517" s="7" t="s">
        <v>419</v>
      </c>
      <c r="C517" s="7" t="s">
        <v>245</v>
      </c>
      <c r="D517" s="7">
        <v>133</v>
      </c>
      <c r="E517" s="7">
        <v>133</v>
      </c>
      <c r="F517" s="8">
        <v>1</v>
      </c>
      <c r="G517" s="8">
        <v>1</v>
      </c>
      <c r="H517" s="7">
        <v>1</v>
      </c>
      <c r="I517" s="7">
        <v>1</v>
      </c>
      <c r="J517" s="9" t="s">
        <v>219</v>
      </c>
      <c r="K517" s="7">
        <v>6</v>
      </c>
      <c r="L517" s="7" t="s">
        <v>52</v>
      </c>
      <c r="M517" s="7">
        <f t="shared" si="38"/>
        <v>1</v>
      </c>
      <c r="N517" s="9" t="s">
        <v>34</v>
      </c>
      <c r="O517" s="7">
        <v>3</v>
      </c>
      <c r="P517" s="9" t="s">
        <v>37</v>
      </c>
      <c r="Q517" s="7" t="s">
        <v>38</v>
      </c>
      <c r="R517" s="7" t="s">
        <v>38</v>
      </c>
      <c r="S517" s="10" t="s">
        <v>1803</v>
      </c>
      <c r="T517" s="7">
        <v>10</v>
      </c>
      <c r="U517" s="7">
        <v>10</v>
      </c>
      <c r="V517" s="7">
        <v>220</v>
      </c>
      <c r="W517" s="7" t="s">
        <v>467</v>
      </c>
      <c r="X517" s="7"/>
      <c r="Y517" s="7"/>
      <c r="Z517" s="7"/>
      <c r="AA517" s="7"/>
      <c r="AB517" s="7">
        <f t="shared" si="37"/>
        <v>3.3333333333333335</v>
      </c>
      <c r="AC517" s="7">
        <f t="shared" si="39"/>
        <v>3.3333333333333335</v>
      </c>
      <c r="AD517" s="7"/>
      <c r="AE517" s="7">
        <v>1</v>
      </c>
      <c r="AF517" s="7" t="s">
        <v>155</v>
      </c>
      <c r="AG517" s="7" t="s">
        <v>133</v>
      </c>
      <c r="AH517" s="7"/>
      <c r="AI517" s="7"/>
      <c r="AJ517" s="7"/>
      <c r="AK517" s="7"/>
      <c r="AL517" s="9"/>
      <c r="AM517" s="7" t="s">
        <v>463</v>
      </c>
      <c r="AN517" s="7" t="s">
        <v>662</v>
      </c>
      <c r="AO517" s="12"/>
    </row>
    <row r="518" spans="1:41" s="11" customFormat="1" x14ac:dyDescent="0.25">
      <c r="A518" s="2">
        <v>517</v>
      </c>
      <c r="B518" s="7" t="s">
        <v>419</v>
      </c>
      <c r="C518" s="7" t="s">
        <v>119</v>
      </c>
      <c r="D518" s="7">
        <v>10</v>
      </c>
      <c r="E518" s="7">
        <v>10</v>
      </c>
      <c r="F518" s="8">
        <v>1</v>
      </c>
      <c r="G518" s="8">
        <v>1</v>
      </c>
      <c r="H518" s="7">
        <v>1</v>
      </c>
      <c r="I518" s="7">
        <v>1</v>
      </c>
      <c r="J518" s="9" t="s">
        <v>219</v>
      </c>
      <c r="K518" s="7">
        <v>13</v>
      </c>
      <c r="L518" s="7" t="s">
        <v>52</v>
      </c>
      <c r="M518" s="7">
        <f t="shared" si="38"/>
        <v>1</v>
      </c>
      <c r="N518" s="9" t="s">
        <v>82</v>
      </c>
      <c r="O518" s="7">
        <v>0</v>
      </c>
      <c r="P518" s="9" t="s">
        <v>36</v>
      </c>
      <c r="Q518" s="7"/>
      <c r="R518" s="7" t="s">
        <v>38</v>
      </c>
      <c r="S518" s="7" t="s">
        <v>468</v>
      </c>
      <c r="T518" s="7"/>
      <c r="U518" s="7"/>
      <c r="V518" s="7"/>
      <c r="W518" s="7"/>
      <c r="X518" s="7"/>
      <c r="Y518" s="7"/>
      <c r="Z518" s="7"/>
      <c r="AA518" s="7"/>
      <c r="AB518" s="7">
        <v>0.33333333333333298</v>
      </c>
      <c r="AC518" s="7">
        <f t="shared" si="39"/>
        <v>0.33333333333333298</v>
      </c>
      <c r="AD518" s="7">
        <v>1</v>
      </c>
      <c r="AE518" s="7"/>
      <c r="AF518" s="7" t="s">
        <v>155</v>
      </c>
      <c r="AG518" s="7" t="s">
        <v>469</v>
      </c>
      <c r="AH518" s="7"/>
      <c r="AI518" s="7"/>
      <c r="AJ518" s="7"/>
      <c r="AK518" s="7"/>
      <c r="AL518" s="9"/>
      <c r="AM518" s="7" t="s">
        <v>71</v>
      </c>
      <c r="AN518" s="7" t="s">
        <v>71</v>
      </c>
      <c r="AO518" s="12"/>
    </row>
    <row r="519" spans="1:41" s="11" customFormat="1" ht="24" x14ac:dyDescent="0.25">
      <c r="A519" s="2">
        <v>518</v>
      </c>
      <c r="B519" s="7" t="s">
        <v>419</v>
      </c>
      <c r="C519" s="7" t="s">
        <v>89</v>
      </c>
      <c r="D519" s="7" t="s">
        <v>470</v>
      </c>
      <c r="E519" s="7">
        <f>65+27</f>
        <v>92</v>
      </c>
      <c r="F519" s="8">
        <v>2</v>
      </c>
      <c r="G519" s="8">
        <v>2</v>
      </c>
      <c r="H519" s="7" t="s">
        <v>87</v>
      </c>
      <c r="I519" s="7">
        <v>2</v>
      </c>
      <c r="J519" s="9" t="s">
        <v>219</v>
      </c>
      <c r="K519" s="7">
        <v>13</v>
      </c>
      <c r="L519" s="7" t="s">
        <v>52</v>
      </c>
      <c r="M519" s="7">
        <f t="shared" si="38"/>
        <v>2</v>
      </c>
      <c r="N519" s="9" t="s">
        <v>82</v>
      </c>
      <c r="O519" s="7">
        <v>0</v>
      </c>
      <c r="P519" s="9" t="s">
        <v>63</v>
      </c>
      <c r="Q519" s="7" t="s">
        <v>38</v>
      </c>
      <c r="R519" s="7" t="s">
        <v>38</v>
      </c>
      <c r="S519" s="10" t="s">
        <v>1804</v>
      </c>
      <c r="T519" s="7"/>
      <c r="U519" s="7"/>
      <c r="V519" s="7"/>
      <c r="W519" s="7"/>
      <c r="X519" s="7">
        <v>3</v>
      </c>
      <c r="Y519" s="7"/>
      <c r="Z519" s="7"/>
      <c r="AA519" s="7"/>
      <c r="AB519" s="7">
        <f t="shared" ref="AB519:AB533" si="40">(U519+X519+Z519)/3</f>
        <v>1</v>
      </c>
      <c r="AC519" s="7">
        <f t="shared" si="39"/>
        <v>1</v>
      </c>
      <c r="AD519" s="7"/>
      <c r="AE519" s="7"/>
      <c r="AF519" s="7"/>
      <c r="AG519" s="7"/>
      <c r="AH519" s="7"/>
      <c r="AI519" s="7"/>
      <c r="AJ519" s="7"/>
      <c r="AK519" s="7"/>
      <c r="AL519" s="9"/>
      <c r="AM519" s="7" t="s">
        <v>71</v>
      </c>
      <c r="AN519" s="7" t="s">
        <v>71</v>
      </c>
      <c r="AO519" s="12"/>
    </row>
    <row r="520" spans="1:41" s="11" customFormat="1" x14ac:dyDescent="0.25">
      <c r="A520" s="2">
        <v>519</v>
      </c>
      <c r="B520" s="7" t="s">
        <v>419</v>
      </c>
      <c r="C520" s="7" t="s">
        <v>100</v>
      </c>
      <c r="D520" s="7">
        <v>21</v>
      </c>
      <c r="E520" s="7">
        <v>21</v>
      </c>
      <c r="F520" s="8">
        <v>1</v>
      </c>
      <c r="G520" s="8">
        <v>1</v>
      </c>
      <c r="H520" s="7">
        <v>1</v>
      </c>
      <c r="I520" s="7">
        <v>1</v>
      </c>
      <c r="J520" s="9" t="s">
        <v>219</v>
      </c>
      <c r="K520" s="7"/>
      <c r="L520" s="7" t="s">
        <v>52</v>
      </c>
      <c r="M520" s="7">
        <f t="shared" si="38"/>
        <v>1</v>
      </c>
      <c r="N520" s="9" t="s">
        <v>34</v>
      </c>
      <c r="O520" s="7">
        <v>0</v>
      </c>
      <c r="P520" s="9" t="s">
        <v>63</v>
      </c>
      <c r="Q520" s="7" t="s">
        <v>38</v>
      </c>
      <c r="R520" s="7" t="s">
        <v>38</v>
      </c>
      <c r="S520" s="10" t="s">
        <v>1805</v>
      </c>
      <c r="T520" s="7"/>
      <c r="U520" s="7"/>
      <c r="V520" s="7"/>
      <c r="W520" s="7"/>
      <c r="X520" s="7">
        <v>3</v>
      </c>
      <c r="Y520" s="7"/>
      <c r="Z520" s="7"/>
      <c r="AA520" s="7"/>
      <c r="AB520" s="7">
        <f t="shared" si="40"/>
        <v>1</v>
      </c>
      <c r="AC520" s="7">
        <f t="shared" si="39"/>
        <v>1</v>
      </c>
      <c r="AD520" s="7"/>
      <c r="AE520" s="7"/>
      <c r="AF520" s="7"/>
      <c r="AG520" s="7"/>
      <c r="AH520" s="7"/>
      <c r="AI520" s="7"/>
      <c r="AJ520" s="7"/>
      <c r="AK520" s="7"/>
      <c r="AL520" s="9"/>
      <c r="AM520" s="7" t="s">
        <v>71</v>
      </c>
      <c r="AN520" s="7" t="s">
        <v>71</v>
      </c>
      <c r="AO520" s="12"/>
    </row>
    <row r="521" spans="1:41" s="11" customFormat="1" ht="24" x14ac:dyDescent="0.25">
      <c r="A521" s="2">
        <v>520</v>
      </c>
      <c r="B521" s="7" t="s">
        <v>471</v>
      </c>
      <c r="C521" s="7" t="s">
        <v>472</v>
      </c>
      <c r="D521" s="7">
        <v>255</v>
      </c>
      <c r="E521" s="7">
        <v>255</v>
      </c>
      <c r="F521" s="8">
        <v>1</v>
      </c>
      <c r="G521" s="8">
        <v>2</v>
      </c>
      <c r="H521" s="7">
        <v>2</v>
      </c>
      <c r="I521" s="7">
        <v>2</v>
      </c>
      <c r="J521" s="9" t="s">
        <v>35</v>
      </c>
      <c r="K521" s="7">
        <v>2</v>
      </c>
      <c r="L521" s="7" t="s">
        <v>52</v>
      </c>
      <c r="M521" s="7">
        <f t="shared" si="38"/>
        <v>1</v>
      </c>
      <c r="N521" s="9" t="s">
        <v>36</v>
      </c>
      <c r="O521" s="7">
        <v>1</v>
      </c>
      <c r="P521" s="9" t="s">
        <v>33</v>
      </c>
      <c r="Q521" s="7" t="s">
        <v>38</v>
      </c>
      <c r="R521" s="7" t="s">
        <v>38</v>
      </c>
      <c r="S521" s="10" t="s">
        <v>1806</v>
      </c>
      <c r="T521" s="7"/>
      <c r="U521" s="7"/>
      <c r="V521" s="7"/>
      <c r="W521" s="7"/>
      <c r="X521" s="7">
        <v>20</v>
      </c>
      <c r="Y521" s="7"/>
      <c r="Z521" s="7"/>
      <c r="AA521" s="7"/>
      <c r="AB521" s="7">
        <f t="shared" si="40"/>
        <v>6.666666666666667</v>
      </c>
      <c r="AC521" s="7">
        <f t="shared" si="39"/>
        <v>6.666666666666667</v>
      </c>
      <c r="AD521" s="7">
        <v>1</v>
      </c>
      <c r="AE521" s="7"/>
      <c r="AF521" s="7" t="s">
        <v>40</v>
      </c>
      <c r="AG521" s="7" t="s">
        <v>473</v>
      </c>
      <c r="AH521" s="7"/>
      <c r="AI521" s="7"/>
      <c r="AJ521" s="10" t="s">
        <v>2352</v>
      </c>
      <c r="AK521" s="7"/>
      <c r="AL521" s="9"/>
      <c r="AM521" s="7" t="s">
        <v>426</v>
      </c>
      <c r="AN521" s="7" t="s">
        <v>42</v>
      </c>
      <c r="AO521" s="15"/>
    </row>
    <row r="522" spans="1:41" s="11" customFormat="1" x14ac:dyDescent="0.25">
      <c r="A522" s="2">
        <v>521</v>
      </c>
      <c r="B522" s="7" t="s">
        <v>471</v>
      </c>
      <c r="C522" s="7" t="s">
        <v>104</v>
      </c>
      <c r="D522" s="7">
        <v>69</v>
      </c>
      <c r="E522" s="7">
        <v>69</v>
      </c>
      <c r="F522" s="8">
        <v>1</v>
      </c>
      <c r="G522" s="8">
        <v>2</v>
      </c>
      <c r="H522" s="7">
        <v>2</v>
      </c>
      <c r="I522" s="7">
        <v>2</v>
      </c>
      <c r="J522" s="9" t="s">
        <v>35</v>
      </c>
      <c r="K522" s="7">
        <v>2</v>
      </c>
      <c r="L522" s="7" t="s">
        <v>52</v>
      </c>
      <c r="M522" s="7">
        <f t="shared" si="38"/>
        <v>1</v>
      </c>
      <c r="N522" s="9" t="s">
        <v>36</v>
      </c>
      <c r="O522" s="7">
        <v>0</v>
      </c>
      <c r="P522" s="9" t="s">
        <v>33</v>
      </c>
      <c r="Q522" s="7" t="s">
        <v>38</v>
      </c>
      <c r="R522" s="7" t="s">
        <v>38</v>
      </c>
      <c r="S522" s="7" t="s">
        <v>246</v>
      </c>
      <c r="T522" s="7"/>
      <c r="U522" s="7"/>
      <c r="V522" s="7"/>
      <c r="W522" s="7"/>
      <c r="X522" s="7">
        <v>3</v>
      </c>
      <c r="Y522" s="7"/>
      <c r="Z522" s="7"/>
      <c r="AA522" s="7"/>
      <c r="AB522" s="7">
        <f t="shared" si="40"/>
        <v>1</v>
      </c>
      <c r="AC522" s="7">
        <f t="shared" si="39"/>
        <v>1</v>
      </c>
      <c r="AD522" s="7">
        <v>1</v>
      </c>
      <c r="AE522" s="7"/>
      <c r="AF522" s="7" t="s">
        <v>40</v>
      </c>
      <c r="AG522" s="7" t="s">
        <v>473</v>
      </c>
      <c r="AH522" s="7"/>
      <c r="AI522" s="7"/>
      <c r="AJ522" s="7"/>
      <c r="AK522" s="7"/>
      <c r="AL522" s="9"/>
      <c r="AM522" s="7" t="s">
        <v>71</v>
      </c>
      <c r="AN522" s="7" t="s">
        <v>71</v>
      </c>
      <c r="AO522" s="12"/>
    </row>
    <row r="523" spans="1:41" s="11" customFormat="1" ht="24" x14ac:dyDescent="0.25">
      <c r="A523" s="2">
        <v>522</v>
      </c>
      <c r="B523" s="7" t="s">
        <v>471</v>
      </c>
      <c r="C523" s="7" t="s">
        <v>78</v>
      </c>
      <c r="D523" s="7">
        <v>7</v>
      </c>
      <c r="E523" s="7">
        <v>7</v>
      </c>
      <c r="F523" s="8">
        <v>1</v>
      </c>
      <c r="G523" s="8">
        <v>2</v>
      </c>
      <c r="H523" s="7">
        <v>2</v>
      </c>
      <c r="I523" s="7">
        <v>2</v>
      </c>
      <c r="J523" s="9" t="s">
        <v>35</v>
      </c>
      <c r="K523" s="7">
        <v>1</v>
      </c>
      <c r="L523" s="7" t="s">
        <v>52</v>
      </c>
      <c r="M523" s="7">
        <f t="shared" si="38"/>
        <v>1</v>
      </c>
      <c r="N523" s="9" t="s">
        <v>82</v>
      </c>
      <c r="O523" s="7">
        <v>0</v>
      </c>
      <c r="P523" s="9" t="s">
        <v>36</v>
      </c>
      <c r="Q523" s="7" t="s">
        <v>38</v>
      </c>
      <c r="R523" s="7" t="s">
        <v>38</v>
      </c>
      <c r="S523" s="10" t="s">
        <v>1807</v>
      </c>
      <c r="T523" s="7">
        <v>14</v>
      </c>
      <c r="U523" s="7">
        <v>14</v>
      </c>
      <c r="V523" s="7">
        <v>70</v>
      </c>
      <c r="W523" s="7" t="s">
        <v>83</v>
      </c>
      <c r="X523" s="7"/>
      <c r="Y523" s="7"/>
      <c r="Z523" s="7"/>
      <c r="AA523" s="7"/>
      <c r="AB523" s="7">
        <f t="shared" si="40"/>
        <v>4.666666666666667</v>
      </c>
      <c r="AC523" s="7">
        <f t="shared" si="39"/>
        <v>4.666666666666667</v>
      </c>
      <c r="AD523" s="7"/>
      <c r="AE523" s="7"/>
      <c r="AF523" s="7"/>
      <c r="AG523" s="7"/>
      <c r="AH523" s="7"/>
      <c r="AI523" s="7"/>
      <c r="AJ523" s="7"/>
      <c r="AK523" s="10" t="s">
        <v>2444</v>
      </c>
      <c r="AL523" s="9"/>
      <c r="AM523" s="7" t="s">
        <v>42</v>
      </c>
      <c r="AN523" s="7" t="s">
        <v>42</v>
      </c>
      <c r="AO523" s="12"/>
    </row>
    <row r="524" spans="1:41" s="11" customFormat="1" x14ac:dyDescent="0.25">
      <c r="A524" s="2">
        <v>523</v>
      </c>
      <c r="B524" s="7" t="s">
        <v>471</v>
      </c>
      <c r="C524" s="7" t="s">
        <v>50</v>
      </c>
      <c r="D524" s="7">
        <v>21</v>
      </c>
      <c r="E524" s="7">
        <v>21</v>
      </c>
      <c r="F524" s="8">
        <v>1</v>
      </c>
      <c r="G524" s="8">
        <v>1</v>
      </c>
      <c r="H524" s="7">
        <v>1</v>
      </c>
      <c r="I524" s="7">
        <v>1</v>
      </c>
      <c r="J524" s="9" t="s">
        <v>35</v>
      </c>
      <c r="K524" s="7">
        <v>2</v>
      </c>
      <c r="L524" s="7" t="s">
        <v>52</v>
      </c>
      <c r="M524" s="7">
        <f t="shared" si="38"/>
        <v>1</v>
      </c>
      <c r="N524" s="9" t="s">
        <v>34</v>
      </c>
      <c r="O524" s="7">
        <v>0</v>
      </c>
      <c r="P524" s="9" t="s">
        <v>33</v>
      </c>
      <c r="Q524" s="7" t="s">
        <v>38</v>
      </c>
      <c r="R524" s="7" t="s">
        <v>38</v>
      </c>
      <c r="S524" s="10" t="s">
        <v>1808</v>
      </c>
      <c r="T524" s="7"/>
      <c r="U524" s="7"/>
      <c r="V524" s="7"/>
      <c r="W524" s="7"/>
      <c r="X524" s="7"/>
      <c r="Y524" s="7">
        <v>25</v>
      </c>
      <c r="Z524" s="7">
        <v>25</v>
      </c>
      <c r="AA524" s="7">
        <v>75</v>
      </c>
      <c r="AB524" s="7">
        <f t="shared" si="40"/>
        <v>8.3333333333333339</v>
      </c>
      <c r="AC524" s="7">
        <f t="shared" si="39"/>
        <v>8.3333333333333339</v>
      </c>
      <c r="AD524" s="7"/>
      <c r="AE524" s="7"/>
      <c r="AF524" s="7"/>
      <c r="AG524" s="7"/>
      <c r="AH524" s="7"/>
      <c r="AI524" s="7"/>
      <c r="AJ524" s="7"/>
      <c r="AK524" s="7"/>
      <c r="AL524" s="9"/>
      <c r="AM524" s="7" t="s">
        <v>42</v>
      </c>
      <c r="AN524" s="7" t="s">
        <v>42</v>
      </c>
      <c r="AO524" s="15" t="s">
        <v>2546</v>
      </c>
    </row>
    <row r="525" spans="1:41" s="11" customFormat="1" x14ac:dyDescent="0.25">
      <c r="A525" s="2">
        <v>524</v>
      </c>
      <c r="B525" s="7" t="s">
        <v>471</v>
      </c>
      <c r="C525" s="7" t="s">
        <v>50</v>
      </c>
      <c r="D525" s="7">
        <v>45</v>
      </c>
      <c r="E525" s="7">
        <v>45</v>
      </c>
      <c r="F525" s="8">
        <v>1</v>
      </c>
      <c r="G525" s="8">
        <v>1</v>
      </c>
      <c r="H525" s="7">
        <v>1</v>
      </c>
      <c r="I525" s="7">
        <v>1</v>
      </c>
      <c r="J525" s="9" t="s">
        <v>35</v>
      </c>
      <c r="K525" s="7">
        <v>2</v>
      </c>
      <c r="L525" s="7" t="s">
        <v>52</v>
      </c>
      <c r="M525" s="7">
        <f t="shared" si="38"/>
        <v>1</v>
      </c>
      <c r="N525" s="9" t="s">
        <v>34</v>
      </c>
      <c r="O525" s="7">
        <v>0</v>
      </c>
      <c r="P525" s="9" t="s">
        <v>34</v>
      </c>
      <c r="Q525" s="7" t="s">
        <v>38</v>
      </c>
      <c r="R525" s="7" t="s">
        <v>38</v>
      </c>
      <c r="S525" s="10" t="s">
        <v>1809</v>
      </c>
      <c r="T525" s="7"/>
      <c r="U525" s="7"/>
      <c r="V525" s="7"/>
      <c r="W525" s="7"/>
      <c r="X525" s="7"/>
      <c r="Y525" s="7">
        <v>10</v>
      </c>
      <c r="Z525" s="7">
        <v>10</v>
      </c>
      <c r="AA525" s="7">
        <v>190</v>
      </c>
      <c r="AB525" s="7">
        <f t="shared" si="40"/>
        <v>3.3333333333333335</v>
      </c>
      <c r="AC525" s="7">
        <f t="shared" si="39"/>
        <v>3.3333333333333335</v>
      </c>
      <c r="AD525" s="7"/>
      <c r="AE525" s="7"/>
      <c r="AF525" s="7"/>
      <c r="AG525" s="7"/>
      <c r="AH525" s="7"/>
      <c r="AI525" s="7"/>
      <c r="AJ525" s="7"/>
      <c r="AK525" s="7"/>
      <c r="AL525" s="9"/>
      <c r="AM525" s="7" t="s">
        <v>71</v>
      </c>
      <c r="AN525" s="7" t="s">
        <v>71</v>
      </c>
      <c r="AO525" s="12"/>
    </row>
    <row r="526" spans="1:41" s="11" customFormat="1" x14ac:dyDescent="0.25">
      <c r="A526" s="2">
        <v>525</v>
      </c>
      <c r="B526" s="7" t="s">
        <v>471</v>
      </c>
      <c r="C526" s="7" t="s">
        <v>50</v>
      </c>
      <c r="D526" s="7">
        <v>37</v>
      </c>
      <c r="E526" s="7">
        <v>37</v>
      </c>
      <c r="F526" s="8">
        <v>1</v>
      </c>
      <c r="G526" s="8">
        <v>1</v>
      </c>
      <c r="H526" s="7">
        <v>1</v>
      </c>
      <c r="I526" s="7">
        <v>1</v>
      </c>
      <c r="J526" s="9" t="s">
        <v>70</v>
      </c>
      <c r="K526" s="7">
        <v>2</v>
      </c>
      <c r="L526" s="7" t="s">
        <v>52</v>
      </c>
      <c r="M526" s="7">
        <f t="shared" si="38"/>
        <v>1</v>
      </c>
      <c r="N526" s="9" t="s">
        <v>36</v>
      </c>
      <c r="O526" s="7">
        <v>0</v>
      </c>
      <c r="P526" s="9" t="s">
        <v>63</v>
      </c>
      <c r="Q526" s="7" t="s">
        <v>38</v>
      </c>
      <c r="R526" s="7" t="s">
        <v>38</v>
      </c>
      <c r="S526" s="10" t="s">
        <v>1810</v>
      </c>
      <c r="T526" s="7"/>
      <c r="U526" s="7"/>
      <c r="V526" s="7"/>
      <c r="W526" s="7"/>
      <c r="X526" s="7"/>
      <c r="Y526" s="7">
        <v>30</v>
      </c>
      <c r="Z526" s="7">
        <v>30</v>
      </c>
      <c r="AA526" s="7">
        <v>70</v>
      </c>
      <c r="AB526" s="7">
        <f t="shared" si="40"/>
        <v>10</v>
      </c>
      <c r="AC526" s="7">
        <f t="shared" si="39"/>
        <v>10</v>
      </c>
      <c r="AD526" s="7"/>
      <c r="AE526" s="7"/>
      <c r="AF526" s="7"/>
      <c r="AG526" s="7"/>
      <c r="AH526" s="7"/>
      <c r="AI526" s="7"/>
      <c r="AJ526" s="7"/>
      <c r="AK526" s="7"/>
      <c r="AL526" s="9"/>
      <c r="AM526" s="7" t="s">
        <v>71</v>
      </c>
      <c r="AN526" s="7" t="s">
        <v>71</v>
      </c>
      <c r="AO526" s="12"/>
    </row>
    <row r="527" spans="1:41" s="11" customFormat="1" x14ac:dyDescent="0.25">
      <c r="A527" s="2">
        <v>526</v>
      </c>
      <c r="B527" s="7" t="s">
        <v>471</v>
      </c>
      <c r="C527" s="7" t="s">
        <v>50</v>
      </c>
      <c r="D527" s="7">
        <v>21</v>
      </c>
      <c r="E527" s="7">
        <v>21</v>
      </c>
      <c r="F527" s="8">
        <v>1</v>
      </c>
      <c r="G527" s="8">
        <v>1</v>
      </c>
      <c r="H527" s="7">
        <v>1</v>
      </c>
      <c r="I527" s="7">
        <v>1</v>
      </c>
      <c r="J527" s="9" t="s">
        <v>35</v>
      </c>
      <c r="K527" s="7">
        <v>2</v>
      </c>
      <c r="L527" s="7" t="s">
        <v>52</v>
      </c>
      <c r="M527" s="7">
        <f t="shared" si="38"/>
        <v>1</v>
      </c>
      <c r="N527" s="9" t="s">
        <v>34</v>
      </c>
      <c r="O527" s="7">
        <v>0</v>
      </c>
      <c r="P527" s="9" t="s">
        <v>63</v>
      </c>
      <c r="Q527" s="7" t="s">
        <v>38</v>
      </c>
      <c r="R527" s="7" t="s">
        <v>38</v>
      </c>
      <c r="S527" s="10" t="s">
        <v>1492</v>
      </c>
      <c r="T527" s="7"/>
      <c r="U527" s="7"/>
      <c r="V527" s="7"/>
      <c r="W527" s="7"/>
      <c r="X527" s="7"/>
      <c r="Y527" s="7">
        <v>10</v>
      </c>
      <c r="Z527" s="7">
        <v>10</v>
      </c>
      <c r="AA527" s="7">
        <v>80</v>
      </c>
      <c r="AB527" s="7">
        <f t="shared" si="40"/>
        <v>3.3333333333333335</v>
      </c>
      <c r="AC527" s="7">
        <f t="shared" si="39"/>
        <v>3.3333333333333335</v>
      </c>
      <c r="AD527" s="7"/>
      <c r="AE527" s="7"/>
      <c r="AF527" s="7"/>
      <c r="AG527" s="7"/>
      <c r="AH527" s="7"/>
      <c r="AI527" s="7"/>
      <c r="AJ527" s="7"/>
      <c r="AK527" s="7"/>
      <c r="AL527" s="9"/>
      <c r="AM527" s="7" t="s">
        <v>71</v>
      </c>
      <c r="AN527" s="7" t="s">
        <v>71</v>
      </c>
      <c r="AO527" s="12"/>
    </row>
    <row r="528" spans="1:41" s="11" customFormat="1" x14ac:dyDescent="0.25">
      <c r="A528" s="2">
        <v>527</v>
      </c>
      <c r="B528" s="7" t="s">
        <v>471</v>
      </c>
      <c r="C528" s="7" t="s">
        <v>50</v>
      </c>
      <c r="D528" s="7">
        <v>27</v>
      </c>
      <c r="E528" s="7">
        <v>27</v>
      </c>
      <c r="F528" s="8">
        <v>1</v>
      </c>
      <c r="G528" s="8">
        <v>1</v>
      </c>
      <c r="H528" s="7">
        <v>1</v>
      </c>
      <c r="I528" s="7">
        <v>1</v>
      </c>
      <c r="J528" s="9" t="s">
        <v>35</v>
      </c>
      <c r="K528" s="7">
        <v>2</v>
      </c>
      <c r="L528" s="7" t="s">
        <v>52</v>
      </c>
      <c r="M528" s="7">
        <f t="shared" si="38"/>
        <v>1</v>
      </c>
      <c r="N528" s="9" t="s">
        <v>34</v>
      </c>
      <c r="O528" s="7">
        <v>0</v>
      </c>
      <c r="P528" s="9" t="s">
        <v>34</v>
      </c>
      <c r="Q528" s="7" t="s">
        <v>38</v>
      </c>
      <c r="R528" s="7" t="s">
        <v>38</v>
      </c>
      <c r="S528" s="10" t="s">
        <v>1811</v>
      </c>
      <c r="T528" s="7"/>
      <c r="U528" s="7"/>
      <c r="V528" s="7"/>
      <c r="W528" s="7"/>
      <c r="X528" s="7"/>
      <c r="Y528" s="7">
        <v>9</v>
      </c>
      <c r="Z528" s="7">
        <v>9</v>
      </c>
      <c r="AA528" s="7">
        <v>130</v>
      </c>
      <c r="AB528" s="7">
        <f t="shared" si="40"/>
        <v>3</v>
      </c>
      <c r="AC528" s="7">
        <f t="shared" si="39"/>
        <v>3</v>
      </c>
      <c r="AD528" s="7"/>
      <c r="AE528" s="7"/>
      <c r="AF528" s="7"/>
      <c r="AG528" s="7"/>
      <c r="AH528" s="7"/>
      <c r="AI528" s="7" t="s">
        <v>474</v>
      </c>
      <c r="AJ528" s="7"/>
      <c r="AK528" s="7"/>
      <c r="AL528" s="9"/>
      <c r="AM528" s="7" t="s">
        <v>71</v>
      </c>
      <c r="AN528" s="7" t="s">
        <v>71</v>
      </c>
      <c r="AO528" s="12"/>
    </row>
    <row r="529" spans="1:41" s="11" customFormat="1" x14ac:dyDescent="0.25">
      <c r="A529" s="2">
        <v>528</v>
      </c>
      <c r="B529" s="7" t="s">
        <v>471</v>
      </c>
      <c r="C529" s="7" t="s">
        <v>78</v>
      </c>
      <c r="D529" s="7">
        <v>3</v>
      </c>
      <c r="E529" s="7">
        <v>3</v>
      </c>
      <c r="F529" s="8">
        <v>1</v>
      </c>
      <c r="G529" s="8">
        <v>1</v>
      </c>
      <c r="H529" s="7">
        <v>1</v>
      </c>
      <c r="I529" s="7">
        <v>1</v>
      </c>
      <c r="J529" s="9" t="s">
        <v>77</v>
      </c>
      <c r="K529" s="7">
        <v>1</v>
      </c>
      <c r="L529" s="7" t="s">
        <v>38</v>
      </c>
      <c r="M529" s="7">
        <f t="shared" si="38"/>
        <v>0</v>
      </c>
      <c r="N529" s="9" t="s">
        <v>34</v>
      </c>
      <c r="O529" s="7">
        <v>0</v>
      </c>
      <c r="P529" s="9" t="s">
        <v>63</v>
      </c>
      <c r="Q529" s="7" t="s">
        <v>38</v>
      </c>
      <c r="R529" s="7" t="s">
        <v>38</v>
      </c>
      <c r="S529" s="10" t="s">
        <v>1689</v>
      </c>
      <c r="T529" s="7">
        <v>7</v>
      </c>
      <c r="U529" s="7">
        <v>7</v>
      </c>
      <c r="V529" s="7">
        <v>80</v>
      </c>
      <c r="W529" s="7" t="s">
        <v>88</v>
      </c>
      <c r="X529" s="7"/>
      <c r="Y529" s="7"/>
      <c r="Z529" s="7"/>
      <c r="AA529" s="7"/>
      <c r="AB529" s="7">
        <f t="shared" si="40"/>
        <v>2.3333333333333335</v>
      </c>
      <c r="AC529" s="7">
        <f t="shared" si="39"/>
        <v>0</v>
      </c>
      <c r="AD529" s="7"/>
      <c r="AE529" s="7"/>
      <c r="AF529" s="7"/>
      <c r="AG529" s="7"/>
      <c r="AH529" s="7"/>
      <c r="AI529" s="7"/>
      <c r="AJ529" s="7"/>
      <c r="AK529" s="7"/>
      <c r="AL529" s="9"/>
      <c r="AM529" s="7" t="s">
        <v>42</v>
      </c>
      <c r="AN529" s="7" t="s">
        <v>42</v>
      </c>
      <c r="AO529" s="12"/>
    </row>
    <row r="530" spans="1:41" s="11" customFormat="1" ht="24" x14ac:dyDescent="0.25">
      <c r="A530" s="2">
        <v>529</v>
      </c>
      <c r="B530" s="7" t="s">
        <v>471</v>
      </c>
      <c r="C530" s="7" t="s">
        <v>78</v>
      </c>
      <c r="D530" s="7">
        <v>2</v>
      </c>
      <c r="E530" s="7">
        <v>2</v>
      </c>
      <c r="F530" s="8">
        <v>1</v>
      </c>
      <c r="G530" s="8">
        <v>1</v>
      </c>
      <c r="H530" s="7">
        <v>1</v>
      </c>
      <c r="I530" s="7">
        <v>1</v>
      </c>
      <c r="J530" s="9" t="s">
        <v>35</v>
      </c>
      <c r="K530" s="7">
        <v>1</v>
      </c>
      <c r="L530" s="7" t="s">
        <v>52</v>
      </c>
      <c r="M530" s="7">
        <f t="shared" si="38"/>
        <v>1</v>
      </c>
      <c r="N530" s="9" t="s">
        <v>34</v>
      </c>
      <c r="O530" s="7">
        <v>0</v>
      </c>
      <c r="P530" s="9" t="s">
        <v>63</v>
      </c>
      <c r="Q530" s="7" t="s">
        <v>38</v>
      </c>
      <c r="R530" s="7" t="s">
        <v>38</v>
      </c>
      <c r="S530" s="10" t="s">
        <v>1635</v>
      </c>
      <c r="T530" s="7">
        <v>10</v>
      </c>
      <c r="U530" s="7">
        <v>10</v>
      </c>
      <c r="V530" s="7">
        <v>80</v>
      </c>
      <c r="W530" s="7" t="s">
        <v>83</v>
      </c>
      <c r="X530" s="7"/>
      <c r="Y530" s="7"/>
      <c r="Z530" s="7"/>
      <c r="AA530" s="7"/>
      <c r="AB530" s="7">
        <f t="shared" si="40"/>
        <v>3.3333333333333335</v>
      </c>
      <c r="AC530" s="7">
        <f t="shared" si="39"/>
        <v>3.3333333333333335</v>
      </c>
      <c r="AD530" s="7"/>
      <c r="AE530" s="7"/>
      <c r="AF530" s="7"/>
      <c r="AG530" s="7"/>
      <c r="AH530" s="7"/>
      <c r="AI530" s="7"/>
      <c r="AJ530" s="7"/>
      <c r="AK530" s="7"/>
      <c r="AL530" s="9"/>
      <c r="AM530" s="7" t="s">
        <v>42</v>
      </c>
      <c r="AN530" s="7" t="s">
        <v>42</v>
      </c>
      <c r="AO530" s="12"/>
    </row>
    <row r="531" spans="1:41" s="11" customFormat="1" ht="24" x14ac:dyDescent="0.25">
      <c r="A531" s="2">
        <v>530</v>
      </c>
      <c r="B531" s="7" t="s">
        <v>471</v>
      </c>
      <c r="C531" s="7" t="s">
        <v>78</v>
      </c>
      <c r="D531" s="7">
        <v>5</v>
      </c>
      <c r="E531" s="7">
        <v>5</v>
      </c>
      <c r="F531" s="8">
        <v>1</v>
      </c>
      <c r="G531" s="8">
        <v>1</v>
      </c>
      <c r="H531" s="7">
        <v>1</v>
      </c>
      <c r="I531" s="7">
        <v>1</v>
      </c>
      <c r="J531" s="9" t="s">
        <v>35</v>
      </c>
      <c r="K531" s="7">
        <v>2</v>
      </c>
      <c r="L531" s="7" t="s">
        <v>52</v>
      </c>
      <c r="M531" s="7">
        <f t="shared" si="38"/>
        <v>1</v>
      </c>
      <c r="N531" s="9" t="s">
        <v>34</v>
      </c>
      <c r="O531" s="7">
        <v>0</v>
      </c>
      <c r="P531" s="9" t="s">
        <v>63</v>
      </c>
      <c r="Q531" s="7" t="s">
        <v>38</v>
      </c>
      <c r="R531" s="7" t="s">
        <v>38</v>
      </c>
      <c r="S531" s="10" t="s">
        <v>1518</v>
      </c>
      <c r="T531" s="7">
        <v>5</v>
      </c>
      <c r="U531" s="7">
        <v>5</v>
      </c>
      <c r="V531" s="7">
        <v>130</v>
      </c>
      <c r="W531" s="7" t="s">
        <v>475</v>
      </c>
      <c r="X531" s="7"/>
      <c r="Y531" s="7"/>
      <c r="Z531" s="7"/>
      <c r="AA531" s="7"/>
      <c r="AB531" s="7">
        <f t="shared" si="40"/>
        <v>1.6666666666666667</v>
      </c>
      <c r="AC531" s="7">
        <f t="shared" si="39"/>
        <v>1.6666666666666667</v>
      </c>
      <c r="AD531" s="7"/>
      <c r="AE531" s="7"/>
      <c r="AF531" s="7"/>
      <c r="AG531" s="7"/>
      <c r="AH531" s="7"/>
      <c r="AI531" s="7"/>
      <c r="AJ531" s="7"/>
      <c r="AK531" s="7"/>
      <c r="AL531" s="9"/>
      <c r="AM531" s="7" t="s">
        <v>71</v>
      </c>
      <c r="AN531" s="7" t="s">
        <v>71</v>
      </c>
      <c r="AO531" s="12"/>
    </row>
    <row r="532" spans="1:41" s="11" customFormat="1" ht="24" x14ac:dyDescent="0.25">
      <c r="A532" s="2">
        <v>531</v>
      </c>
      <c r="B532" s="7" t="s">
        <v>471</v>
      </c>
      <c r="C532" s="7" t="s">
        <v>78</v>
      </c>
      <c r="D532" s="7">
        <v>1</v>
      </c>
      <c r="E532" s="7">
        <v>1</v>
      </c>
      <c r="F532" s="8">
        <v>1</v>
      </c>
      <c r="G532" s="8">
        <v>1</v>
      </c>
      <c r="H532" s="7">
        <v>1</v>
      </c>
      <c r="I532" s="7">
        <v>1</v>
      </c>
      <c r="J532" s="9" t="s">
        <v>35</v>
      </c>
      <c r="K532" s="7">
        <v>1</v>
      </c>
      <c r="L532" s="7" t="s">
        <v>52</v>
      </c>
      <c r="M532" s="7">
        <f t="shared" si="38"/>
        <v>1</v>
      </c>
      <c r="N532" s="9" t="s">
        <v>34</v>
      </c>
      <c r="O532" s="7">
        <v>0</v>
      </c>
      <c r="P532" s="9" t="s">
        <v>33</v>
      </c>
      <c r="Q532" s="7" t="s">
        <v>38</v>
      </c>
      <c r="R532" s="7" t="s">
        <v>38</v>
      </c>
      <c r="S532" s="7"/>
      <c r="T532" s="7">
        <v>5</v>
      </c>
      <c r="U532" s="7">
        <v>5</v>
      </c>
      <c r="V532" s="7">
        <v>100</v>
      </c>
      <c r="W532" s="7" t="s">
        <v>83</v>
      </c>
      <c r="X532" s="7"/>
      <c r="Y532" s="7"/>
      <c r="Z532" s="7"/>
      <c r="AA532" s="7"/>
      <c r="AB532" s="7">
        <f t="shared" si="40"/>
        <v>1.6666666666666667</v>
      </c>
      <c r="AC532" s="7">
        <f t="shared" si="39"/>
        <v>1.6666666666666667</v>
      </c>
      <c r="AD532" s="7"/>
      <c r="AE532" s="7"/>
      <c r="AF532" s="7"/>
      <c r="AG532" s="7"/>
      <c r="AH532" s="7"/>
      <c r="AI532" s="7"/>
      <c r="AJ532" s="7"/>
      <c r="AK532" s="7"/>
      <c r="AL532" s="9"/>
      <c r="AM532" s="7" t="s">
        <v>42</v>
      </c>
      <c r="AN532" s="7" t="s">
        <v>42</v>
      </c>
      <c r="AO532" s="12"/>
    </row>
    <row r="533" spans="1:41" s="11" customFormat="1" x14ac:dyDescent="0.25">
      <c r="A533" s="2">
        <v>532</v>
      </c>
      <c r="B533" s="7" t="s">
        <v>471</v>
      </c>
      <c r="C533" s="7" t="s">
        <v>104</v>
      </c>
      <c r="D533" s="7">
        <v>7</v>
      </c>
      <c r="E533" s="7">
        <v>7</v>
      </c>
      <c r="F533" s="8">
        <v>1</v>
      </c>
      <c r="G533" s="8">
        <v>1</v>
      </c>
      <c r="H533" s="7">
        <v>1</v>
      </c>
      <c r="I533" s="7">
        <v>1</v>
      </c>
      <c r="J533" s="9" t="s">
        <v>70</v>
      </c>
      <c r="K533" s="7">
        <v>2</v>
      </c>
      <c r="L533" s="7" t="s">
        <v>52</v>
      </c>
      <c r="M533" s="7">
        <f t="shared" si="38"/>
        <v>1</v>
      </c>
      <c r="N533" s="9" t="s">
        <v>34</v>
      </c>
      <c r="O533" s="7">
        <v>0</v>
      </c>
      <c r="P533" s="9" t="s">
        <v>33</v>
      </c>
      <c r="Q533" s="7" t="s">
        <v>38</v>
      </c>
      <c r="R533" s="7" t="s">
        <v>38</v>
      </c>
      <c r="S533" s="10" t="s">
        <v>1518</v>
      </c>
      <c r="T533" s="7"/>
      <c r="U533" s="7"/>
      <c r="V533" s="7"/>
      <c r="W533" s="7"/>
      <c r="X533" s="7">
        <v>3</v>
      </c>
      <c r="Y533" s="7"/>
      <c r="Z533" s="7"/>
      <c r="AA533" s="7"/>
      <c r="AB533" s="7">
        <f t="shared" si="40"/>
        <v>1</v>
      </c>
      <c r="AC533" s="7">
        <f t="shared" si="39"/>
        <v>1</v>
      </c>
      <c r="AD533" s="7"/>
      <c r="AE533" s="7">
        <v>1</v>
      </c>
      <c r="AF533" s="7" t="s">
        <v>40</v>
      </c>
      <c r="AG533" s="7"/>
      <c r="AH533" s="7"/>
      <c r="AI533" s="7"/>
      <c r="AJ533" s="7"/>
      <c r="AK533" s="7"/>
      <c r="AL533" s="9"/>
      <c r="AM533" s="7" t="s">
        <v>71</v>
      </c>
      <c r="AN533" s="7" t="s">
        <v>71</v>
      </c>
      <c r="AO533" s="12"/>
    </row>
    <row r="534" spans="1:41" s="11" customFormat="1" x14ac:dyDescent="0.25">
      <c r="A534" s="2">
        <v>533</v>
      </c>
      <c r="B534" s="7" t="s">
        <v>471</v>
      </c>
      <c r="C534" s="7" t="s">
        <v>119</v>
      </c>
      <c r="D534" s="7">
        <v>8</v>
      </c>
      <c r="E534" s="7">
        <v>8</v>
      </c>
      <c r="F534" s="8">
        <v>1</v>
      </c>
      <c r="G534" s="8">
        <v>1</v>
      </c>
      <c r="H534" s="7">
        <v>1</v>
      </c>
      <c r="I534" s="7">
        <v>1</v>
      </c>
      <c r="J534" s="9" t="s">
        <v>35</v>
      </c>
      <c r="K534" s="7">
        <v>2</v>
      </c>
      <c r="L534" s="7" t="s">
        <v>52</v>
      </c>
      <c r="M534" s="7">
        <f t="shared" si="38"/>
        <v>1</v>
      </c>
      <c r="N534" s="9" t="s">
        <v>34</v>
      </c>
      <c r="O534" s="7">
        <v>0</v>
      </c>
      <c r="P534" s="9" t="s">
        <v>63</v>
      </c>
      <c r="Q534" s="7"/>
      <c r="R534" s="7" t="s">
        <v>38</v>
      </c>
      <c r="S534" s="7" t="s">
        <v>307</v>
      </c>
      <c r="T534" s="7"/>
      <c r="U534" s="7"/>
      <c r="V534" s="7"/>
      <c r="W534" s="7"/>
      <c r="X534" s="7"/>
      <c r="Y534" s="7"/>
      <c r="Z534" s="7"/>
      <c r="AA534" s="7"/>
      <c r="AB534" s="7">
        <v>1</v>
      </c>
      <c r="AC534" s="7">
        <f t="shared" si="39"/>
        <v>1</v>
      </c>
      <c r="AD534" s="7">
        <v>1</v>
      </c>
      <c r="AE534" s="7"/>
      <c r="AF534" s="7" t="s">
        <v>40</v>
      </c>
      <c r="AG534" s="7" t="s">
        <v>120</v>
      </c>
      <c r="AH534" s="7"/>
      <c r="AI534" s="7"/>
      <c r="AJ534" s="7"/>
      <c r="AK534" s="7"/>
      <c r="AL534" s="9"/>
      <c r="AM534" s="7" t="s">
        <v>71</v>
      </c>
      <c r="AN534" s="7" t="s">
        <v>71</v>
      </c>
      <c r="AO534" s="12"/>
    </row>
    <row r="535" spans="1:41" s="11" customFormat="1" x14ac:dyDescent="0.25">
      <c r="A535" s="2">
        <v>534</v>
      </c>
      <c r="B535" s="7" t="s">
        <v>471</v>
      </c>
      <c r="C535" s="7" t="s">
        <v>119</v>
      </c>
      <c r="D535" s="7">
        <v>3</v>
      </c>
      <c r="E535" s="7">
        <v>3</v>
      </c>
      <c r="F535" s="8">
        <v>1</v>
      </c>
      <c r="G535" s="8">
        <v>1</v>
      </c>
      <c r="H535" s="7">
        <v>1</v>
      </c>
      <c r="I535" s="7">
        <v>1</v>
      </c>
      <c r="J535" s="9" t="s">
        <v>70</v>
      </c>
      <c r="K535" s="7">
        <v>1</v>
      </c>
      <c r="L535" s="7" t="s">
        <v>52</v>
      </c>
      <c r="M535" s="7">
        <f t="shared" si="38"/>
        <v>1</v>
      </c>
      <c r="N535" s="9" t="s">
        <v>34</v>
      </c>
      <c r="O535" s="7">
        <v>0</v>
      </c>
      <c r="P535" s="9" t="s">
        <v>33</v>
      </c>
      <c r="Q535" s="7"/>
      <c r="R535" s="7" t="s">
        <v>38</v>
      </c>
      <c r="S535" s="10" t="s">
        <v>1812</v>
      </c>
      <c r="T535" s="7"/>
      <c r="U535" s="7"/>
      <c r="V535" s="7"/>
      <c r="W535" s="7"/>
      <c r="X535" s="7"/>
      <c r="Y535" s="7"/>
      <c r="Z535" s="7"/>
      <c r="AA535" s="7"/>
      <c r="AB535" s="7">
        <v>0.33333333333333298</v>
      </c>
      <c r="AC535" s="7">
        <f t="shared" si="39"/>
        <v>0.33333333333333298</v>
      </c>
      <c r="AD535" s="7">
        <v>1</v>
      </c>
      <c r="AE535" s="7"/>
      <c r="AF535" s="7" t="s">
        <v>40</v>
      </c>
      <c r="AG535" s="7" t="s">
        <v>476</v>
      </c>
      <c r="AH535" s="7"/>
      <c r="AI535" s="7"/>
      <c r="AJ535" s="7"/>
      <c r="AK535" s="7"/>
      <c r="AL535" s="9"/>
      <c r="AM535" s="7" t="s">
        <v>71</v>
      </c>
      <c r="AN535" s="7" t="s">
        <v>71</v>
      </c>
      <c r="AO535" s="12"/>
    </row>
    <row r="536" spans="1:41" s="11" customFormat="1" x14ac:dyDescent="0.25">
      <c r="A536" s="2">
        <v>535</v>
      </c>
      <c r="B536" s="7" t="s">
        <v>471</v>
      </c>
      <c r="C536" s="7" t="s">
        <v>119</v>
      </c>
      <c r="D536" s="7">
        <v>19</v>
      </c>
      <c r="E536" s="7">
        <v>19</v>
      </c>
      <c r="F536" s="8">
        <v>1</v>
      </c>
      <c r="G536" s="8">
        <v>1</v>
      </c>
      <c r="H536" s="7">
        <v>1</v>
      </c>
      <c r="I536" s="7">
        <v>1</v>
      </c>
      <c r="J536" s="9" t="s">
        <v>35</v>
      </c>
      <c r="K536" s="7">
        <v>2</v>
      </c>
      <c r="L536" s="7" t="s">
        <v>52</v>
      </c>
      <c r="M536" s="7">
        <f t="shared" si="38"/>
        <v>1</v>
      </c>
      <c r="N536" s="9" t="s">
        <v>34</v>
      </c>
      <c r="O536" s="7">
        <v>0</v>
      </c>
      <c r="P536" s="9" t="s">
        <v>37</v>
      </c>
      <c r="Q536" s="7" t="s">
        <v>38</v>
      </c>
      <c r="R536" s="7" t="s">
        <v>38</v>
      </c>
      <c r="S536" s="10" t="s">
        <v>1813</v>
      </c>
      <c r="T536" s="7"/>
      <c r="U536" s="7"/>
      <c r="V536" s="7"/>
      <c r="W536" s="7"/>
      <c r="X536" s="7"/>
      <c r="Y536" s="7"/>
      <c r="Z536" s="7"/>
      <c r="AA536" s="7"/>
      <c r="AB536" s="7">
        <v>0.33333333333333298</v>
      </c>
      <c r="AC536" s="7">
        <f t="shared" si="39"/>
        <v>0.33333333333333298</v>
      </c>
      <c r="AD536" s="7">
        <v>1</v>
      </c>
      <c r="AE536" s="7"/>
      <c r="AF536" s="7" t="s">
        <v>40</v>
      </c>
      <c r="AG536" s="7" t="s">
        <v>473</v>
      </c>
      <c r="AH536" s="7"/>
      <c r="AI536" s="7"/>
      <c r="AJ536" s="7"/>
      <c r="AK536" s="7"/>
      <c r="AL536" s="9"/>
      <c r="AM536" s="7" t="s">
        <v>71</v>
      </c>
      <c r="AN536" s="7" t="s">
        <v>71</v>
      </c>
      <c r="AO536" s="12"/>
    </row>
    <row r="537" spans="1:41" s="11" customFormat="1" x14ac:dyDescent="0.25">
      <c r="A537" s="2">
        <v>536</v>
      </c>
      <c r="B537" s="7" t="s">
        <v>471</v>
      </c>
      <c r="C537" s="7" t="s">
        <v>89</v>
      </c>
      <c r="D537" s="7" t="s">
        <v>477</v>
      </c>
      <c r="E537" s="7">
        <f>48+12</f>
        <v>60</v>
      </c>
      <c r="F537" s="8">
        <v>4</v>
      </c>
      <c r="G537" s="8">
        <v>4</v>
      </c>
      <c r="H537" s="7" t="s">
        <v>91</v>
      </c>
      <c r="I537" s="7">
        <v>4</v>
      </c>
      <c r="J537" s="9" t="s">
        <v>35</v>
      </c>
      <c r="K537" s="7">
        <v>1</v>
      </c>
      <c r="L537" s="7" t="s">
        <v>52</v>
      </c>
      <c r="M537" s="7">
        <f t="shared" si="38"/>
        <v>4</v>
      </c>
      <c r="N537" s="9" t="s">
        <v>36</v>
      </c>
      <c r="O537" s="7">
        <v>0</v>
      </c>
      <c r="P537" s="9" t="s">
        <v>63</v>
      </c>
      <c r="Q537" s="7" t="s">
        <v>38</v>
      </c>
      <c r="R537" s="7" t="s">
        <v>38</v>
      </c>
      <c r="S537" s="10" t="s">
        <v>1517</v>
      </c>
      <c r="T537" s="7"/>
      <c r="U537" s="7"/>
      <c r="V537" s="7"/>
      <c r="W537" s="7"/>
      <c r="X537" s="7">
        <v>3</v>
      </c>
      <c r="Y537" s="7"/>
      <c r="Z537" s="7"/>
      <c r="AA537" s="7"/>
      <c r="AB537" s="7">
        <f t="shared" ref="AB537:AB554" si="41">(U537+X537+Z537)/3</f>
        <v>1</v>
      </c>
      <c r="AC537" s="7">
        <f t="shared" si="39"/>
        <v>1</v>
      </c>
      <c r="AD537" s="7"/>
      <c r="AE537" s="7"/>
      <c r="AF537" s="7"/>
      <c r="AG537" s="7"/>
      <c r="AH537" s="7"/>
      <c r="AI537" s="7"/>
      <c r="AJ537" s="7"/>
      <c r="AK537" s="7"/>
      <c r="AL537" s="9"/>
      <c r="AM537" s="7" t="s">
        <v>71</v>
      </c>
      <c r="AN537" s="7" t="s">
        <v>71</v>
      </c>
      <c r="AO537" s="12"/>
    </row>
    <row r="538" spans="1:41" s="11" customFormat="1" x14ac:dyDescent="0.25">
      <c r="A538" s="2">
        <v>537</v>
      </c>
      <c r="B538" s="7" t="s">
        <v>471</v>
      </c>
      <c r="C538" s="7" t="s">
        <v>100</v>
      </c>
      <c r="D538" s="7">
        <v>18</v>
      </c>
      <c r="E538" s="7">
        <v>18</v>
      </c>
      <c r="F538" s="8">
        <v>1</v>
      </c>
      <c r="G538" s="8">
        <v>1</v>
      </c>
      <c r="H538" s="7">
        <v>1</v>
      </c>
      <c r="I538" s="7">
        <v>1</v>
      </c>
      <c r="J538" s="7" t="s">
        <v>70</v>
      </c>
      <c r="K538" s="7">
        <v>1</v>
      </c>
      <c r="L538" s="7" t="s">
        <v>52</v>
      </c>
      <c r="M538" s="7">
        <f t="shared" si="38"/>
        <v>1</v>
      </c>
      <c r="N538" s="9" t="s">
        <v>36</v>
      </c>
      <c r="O538" s="7">
        <v>1</v>
      </c>
      <c r="P538" s="9" t="s">
        <v>33</v>
      </c>
      <c r="Q538" s="7" t="s">
        <v>38</v>
      </c>
      <c r="R538" s="7" t="s">
        <v>38</v>
      </c>
      <c r="S538" s="10" t="s">
        <v>1740</v>
      </c>
      <c r="T538" s="7"/>
      <c r="U538" s="7"/>
      <c r="V538" s="7"/>
      <c r="W538" s="7"/>
      <c r="X538" s="7">
        <v>3</v>
      </c>
      <c r="Y538" s="7"/>
      <c r="Z538" s="7"/>
      <c r="AA538" s="7"/>
      <c r="AB538" s="7">
        <f t="shared" si="41"/>
        <v>1</v>
      </c>
      <c r="AC538" s="7">
        <f t="shared" si="39"/>
        <v>1</v>
      </c>
      <c r="AD538" s="7"/>
      <c r="AE538" s="7">
        <v>1</v>
      </c>
      <c r="AF538" s="7"/>
      <c r="AG538" s="7"/>
      <c r="AH538" s="7"/>
      <c r="AI538" s="7"/>
      <c r="AJ538" s="7"/>
      <c r="AK538" s="7"/>
      <c r="AL538" s="9"/>
      <c r="AM538" s="7" t="s">
        <v>71</v>
      </c>
      <c r="AN538" s="7" t="s">
        <v>71</v>
      </c>
      <c r="AO538" s="12"/>
    </row>
    <row r="539" spans="1:41" s="11" customFormat="1" x14ac:dyDescent="0.25">
      <c r="A539" s="2">
        <v>538</v>
      </c>
      <c r="B539" s="7" t="s">
        <v>471</v>
      </c>
      <c r="C539" s="7" t="s">
        <v>89</v>
      </c>
      <c r="D539" s="7" t="s">
        <v>478</v>
      </c>
      <c r="E539" s="7">
        <v>32</v>
      </c>
      <c r="F539" s="8">
        <v>3</v>
      </c>
      <c r="G539" s="8">
        <v>3</v>
      </c>
      <c r="H539" s="7" t="s">
        <v>97</v>
      </c>
      <c r="I539" s="7">
        <v>3</v>
      </c>
      <c r="J539" s="9" t="s">
        <v>70</v>
      </c>
      <c r="K539" s="7">
        <v>1</v>
      </c>
      <c r="L539" s="7" t="s">
        <v>52</v>
      </c>
      <c r="M539" s="7">
        <f t="shared" si="38"/>
        <v>3</v>
      </c>
      <c r="N539" s="9" t="s">
        <v>82</v>
      </c>
      <c r="O539" s="7">
        <v>0</v>
      </c>
      <c r="P539" s="9" t="s">
        <v>34</v>
      </c>
      <c r="Q539" s="7" t="s">
        <v>38</v>
      </c>
      <c r="R539" s="7" t="s">
        <v>38</v>
      </c>
      <c r="S539" s="10" t="s">
        <v>1814</v>
      </c>
      <c r="T539" s="7"/>
      <c r="U539" s="7"/>
      <c r="V539" s="7"/>
      <c r="W539" s="7"/>
      <c r="X539" s="7">
        <v>3</v>
      </c>
      <c r="Y539" s="7"/>
      <c r="Z539" s="7"/>
      <c r="AA539" s="7"/>
      <c r="AB539" s="7">
        <f t="shared" si="41"/>
        <v>1</v>
      </c>
      <c r="AC539" s="7">
        <f t="shared" si="39"/>
        <v>1</v>
      </c>
      <c r="AD539" s="7"/>
      <c r="AE539" s="7"/>
      <c r="AF539" s="7"/>
      <c r="AG539" s="7"/>
      <c r="AH539" s="7"/>
      <c r="AI539" s="7"/>
      <c r="AJ539" s="7"/>
      <c r="AK539" s="7"/>
      <c r="AL539" s="9"/>
      <c r="AM539" s="7" t="s">
        <v>71</v>
      </c>
      <c r="AN539" s="7" t="s">
        <v>71</v>
      </c>
      <c r="AO539" s="12"/>
    </row>
    <row r="540" spans="1:41" s="11" customFormat="1" x14ac:dyDescent="0.25">
      <c r="A540" s="2">
        <v>539</v>
      </c>
      <c r="B540" s="7" t="s">
        <v>471</v>
      </c>
      <c r="C540" s="7" t="s">
        <v>100</v>
      </c>
      <c r="D540" s="7">
        <v>12</v>
      </c>
      <c r="E540" s="7">
        <v>12</v>
      </c>
      <c r="F540" s="8">
        <v>1</v>
      </c>
      <c r="G540" s="8">
        <v>1</v>
      </c>
      <c r="H540" s="7">
        <v>1</v>
      </c>
      <c r="I540" s="7">
        <v>1</v>
      </c>
      <c r="J540" s="9" t="s">
        <v>35</v>
      </c>
      <c r="K540" s="7">
        <v>1</v>
      </c>
      <c r="L540" s="7" t="s">
        <v>52</v>
      </c>
      <c r="M540" s="7">
        <f t="shared" si="38"/>
        <v>1</v>
      </c>
      <c r="N540" s="9" t="s">
        <v>34</v>
      </c>
      <c r="O540" s="7">
        <v>0</v>
      </c>
      <c r="P540" s="9" t="s">
        <v>63</v>
      </c>
      <c r="Q540" s="7" t="s">
        <v>38</v>
      </c>
      <c r="R540" s="7" t="s">
        <v>38</v>
      </c>
      <c r="S540" s="10" t="s">
        <v>1689</v>
      </c>
      <c r="T540" s="7"/>
      <c r="U540" s="7"/>
      <c r="V540" s="7"/>
      <c r="W540" s="7"/>
      <c r="X540" s="7">
        <v>3</v>
      </c>
      <c r="Y540" s="7"/>
      <c r="Z540" s="7"/>
      <c r="AA540" s="7"/>
      <c r="AB540" s="7">
        <f t="shared" si="41"/>
        <v>1</v>
      </c>
      <c r="AC540" s="7">
        <f t="shared" si="39"/>
        <v>1</v>
      </c>
      <c r="AD540" s="7"/>
      <c r="AE540" s="7"/>
      <c r="AF540" s="7"/>
      <c r="AG540" s="7"/>
      <c r="AH540" s="7"/>
      <c r="AI540" s="7"/>
      <c r="AJ540" s="7"/>
      <c r="AK540" s="7"/>
      <c r="AL540" s="9"/>
      <c r="AM540" s="7" t="s">
        <v>71</v>
      </c>
      <c r="AN540" s="7" t="s">
        <v>71</v>
      </c>
      <c r="AO540" s="12"/>
    </row>
    <row r="541" spans="1:41" s="11" customFormat="1" ht="24" x14ac:dyDescent="0.25">
      <c r="A541" s="2">
        <v>540</v>
      </c>
      <c r="B541" s="7" t="s">
        <v>471</v>
      </c>
      <c r="C541" s="7" t="s">
        <v>100</v>
      </c>
      <c r="D541" s="7" t="s">
        <v>479</v>
      </c>
      <c r="E541" s="7">
        <f>8+7+6</f>
        <v>21</v>
      </c>
      <c r="F541" s="8">
        <v>3</v>
      </c>
      <c r="G541" s="8">
        <v>3</v>
      </c>
      <c r="H541" s="7" t="s">
        <v>97</v>
      </c>
      <c r="I541" s="7">
        <v>3</v>
      </c>
      <c r="J541" s="9" t="s">
        <v>35</v>
      </c>
      <c r="K541" s="7">
        <v>1</v>
      </c>
      <c r="L541" s="7" t="s">
        <v>52</v>
      </c>
      <c r="M541" s="7">
        <f t="shared" si="38"/>
        <v>3</v>
      </c>
      <c r="N541" s="9" t="s">
        <v>36</v>
      </c>
      <c r="O541" s="7">
        <v>0</v>
      </c>
      <c r="P541" s="9" t="s">
        <v>34</v>
      </c>
      <c r="Q541" s="7" t="s">
        <v>38</v>
      </c>
      <c r="R541" s="7" t="s">
        <v>38</v>
      </c>
      <c r="S541" s="10" t="s">
        <v>1815</v>
      </c>
      <c r="T541" s="7"/>
      <c r="U541" s="7"/>
      <c r="V541" s="7"/>
      <c r="W541" s="7"/>
      <c r="X541" s="7">
        <v>3</v>
      </c>
      <c r="Y541" s="7"/>
      <c r="Z541" s="7"/>
      <c r="AA541" s="7"/>
      <c r="AB541" s="7">
        <f t="shared" si="41"/>
        <v>1</v>
      </c>
      <c r="AC541" s="7">
        <f t="shared" si="39"/>
        <v>1</v>
      </c>
      <c r="AD541" s="7"/>
      <c r="AE541" s="7"/>
      <c r="AF541" s="7"/>
      <c r="AG541" s="7"/>
      <c r="AH541" s="7"/>
      <c r="AI541" s="7"/>
      <c r="AJ541" s="7"/>
      <c r="AK541" s="7"/>
      <c r="AL541" s="9"/>
      <c r="AM541" s="7" t="s">
        <v>71</v>
      </c>
      <c r="AN541" s="7" t="s">
        <v>71</v>
      </c>
      <c r="AO541" s="12"/>
    </row>
    <row r="542" spans="1:41" s="11" customFormat="1" x14ac:dyDescent="0.25">
      <c r="A542" s="2">
        <v>541</v>
      </c>
      <c r="B542" s="7" t="s">
        <v>471</v>
      </c>
      <c r="C542" s="7" t="s">
        <v>89</v>
      </c>
      <c r="D542" s="7" t="s">
        <v>480</v>
      </c>
      <c r="E542" s="7">
        <v>109</v>
      </c>
      <c r="F542" s="8">
        <v>1</v>
      </c>
      <c r="G542" s="8">
        <v>3</v>
      </c>
      <c r="H542" s="7">
        <v>3</v>
      </c>
      <c r="I542" s="7">
        <v>3</v>
      </c>
      <c r="J542" s="9" t="s">
        <v>35</v>
      </c>
      <c r="K542" s="7">
        <v>2</v>
      </c>
      <c r="L542" s="7" t="s">
        <v>52</v>
      </c>
      <c r="M542" s="7">
        <f t="shared" si="38"/>
        <v>1</v>
      </c>
      <c r="N542" s="9" t="s">
        <v>36</v>
      </c>
      <c r="O542" s="7">
        <v>0</v>
      </c>
      <c r="P542" s="9" t="s">
        <v>37</v>
      </c>
      <c r="Q542" s="7" t="s">
        <v>38</v>
      </c>
      <c r="R542" s="7" t="s">
        <v>38</v>
      </c>
      <c r="S542" s="10" t="s">
        <v>1816</v>
      </c>
      <c r="T542" s="7"/>
      <c r="U542" s="7"/>
      <c r="V542" s="7"/>
      <c r="W542" s="7"/>
      <c r="X542" s="7">
        <v>3</v>
      </c>
      <c r="Y542" s="7"/>
      <c r="Z542" s="7"/>
      <c r="AA542" s="7"/>
      <c r="AB542" s="7">
        <f t="shared" si="41"/>
        <v>1</v>
      </c>
      <c r="AC542" s="7">
        <f t="shared" si="39"/>
        <v>1</v>
      </c>
      <c r="AD542" s="7"/>
      <c r="AE542" s="7"/>
      <c r="AF542" s="7"/>
      <c r="AG542" s="7"/>
      <c r="AH542" s="7"/>
      <c r="AI542" s="7"/>
      <c r="AJ542" s="7"/>
      <c r="AK542" s="7"/>
      <c r="AL542" s="9"/>
      <c r="AM542" s="7" t="s">
        <v>71</v>
      </c>
      <c r="AN542" s="7" t="s">
        <v>71</v>
      </c>
      <c r="AO542" s="12"/>
    </row>
    <row r="543" spans="1:41" s="11" customFormat="1" x14ac:dyDescent="0.25">
      <c r="A543" s="2">
        <v>542</v>
      </c>
      <c r="B543" s="7" t="s">
        <v>471</v>
      </c>
      <c r="C543" s="7" t="s">
        <v>89</v>
      </c>
      <c r="D543" s="7" t="s">
        <v>481</v>
      </c>
      <c r="E543" s="7">
        <v>16</v>
      </c>
      <c r="F543" s="8">
        <v>3</v>
      </c>
      <c r="G543" s="8">
        <v>3</v>
      </c>
      <c r="H543" s="7" t="s">
        <v>97</v>
      </c>
      <c r="I543" s="7">
        <v>3</v>
      </c>
      <c r="J543" s="9" t="s">
        <v>35</v>
      </c>
      <c r="K543" s="7">
        <v>2</v>
      </c>
      <c r="L543" s="7" t="s">
        <v>52</v>
      </c>
      <c r="M543" s="7">
        <f t="shared" si="38"/>
        <v>3</v>
      </c>
      <c r="N543" s="9" t="s">
        <v>34</v>
      </c>
      <c r="O543" s="7">
        <v>0</v>
      </c>
      <c r="P543" s="9" t="s">
        <v>37</v>
      </c>
      <c r="Q543" s="7" t="s">
        <v>38</v>
      </c>
      <c r="R543" s="7" t="s">
        <v>38</v>
      </c>
      <c r="S543" s="10" t="s">
        <v>1744</v>
      </c>
      <c r="T543" s="7"/>
      <c r="U543" s="7"/>
      <c r="V543" s="7"/>
      <c r="W543" s="7"/>
      <c r="X543" s="7">
        <v>3</v>
      </c>
      <c r="Y543" s="7"/>
      <c r="Z543" s="7"/>
      <c r="AA543" s="7"/>
      <c r="AB543" s="7">
        <f t="shared" si="41"/>
        <v>1</v>
      </c>
      <c r="AC543" s="7">
        <f t="shared" si="39"/>
        <v>1</v>
      </c>
      <c r="AD543" s="7"/>
      <c r="AE543" s="7"/>
      <c r="AF543" s="7"/>
      <c r="AG543" s="7"/>
      <c r="AH543" s="7"/>
      <c r="AI543" s="7"/>
      <c r="AJ543" s="7"/>
      <c r="AK543" s="7"/>
      <c r="AL543" s="9"/>
      <c r="AM543" s="7" t="s">
        <v>71</v>
      </c>
      <c r="AN543" s="7" t="s">
        <v>71</v>
      </c>
      <c r="AO543" s="12"/>
    </row>
    <row r="544" spans="1:41" s="11" customFormat="1" x14ac:dyDescent="0.25">
      <c r="A544" s="2">
        <v>543</v>
      </c>
      <c r="B544" s="7" t="s">
        <v>471</v>
      </c>
      <c r="C544" s="7" t="s">
        <v>89</v>
      </c>
      <c r="D544" s="7" t="s">
        <v>482</v>
      </c>
      <c r="E544" s="7">
        <v>24</v>
      </c>
      <c r="F544" s="8">
        <v>2</v>
      </c>
      <c r="G544" s="8">
        <v>2</v>
      </c>
      <c r="H544" s="7" t="s">
        <v>87</v>
      </c>
      <c r="I544" s="7">
        <v>2</v>
      </c>
      <c r="J544" s="9" t="s">
        <v>35</v>
      </c>
      <c r="K544" s="7">
        <v>2</v>
      </c>
      <c r="L544" s="7" t="s">
        <v>52</v>
      </c>
      <c r="M544" s="7">
        <f t="shared" si="38"/>
        <v>2</v>
      </c>
      <c r="N544" s="9" t="s">
        <v>34</v>
      </c>
      <c r="O544" s="7">
        <v>1</v>
      </c>
      <c r="P544" s="9" t="s">
        <v>63</v>
      </c>
      <c r="Q544" s="7" t="s">
        <v>38</v>
      </c>
      <c r="R544" s="7" t="s">
        <v>38</v>
      </c>
      <c r="S544" s="10" t="s">
        <v>1817</v>
      </c>
      <c r="T544" s="7"/>
      <c r="U544" s="7"/>
      <c r="V544" s="7"/>
      <c r="W544" s="7"/>
      <c r="X544" s="7">
        <v>3</v>
      </c>
      <c r="Y544" s="7"/>
      <c r="Z544" s="7"/>
      <c r="AA544" s="7"/>
      <c r="AB544" s="7">
        <f t="shared" si="41"/>
        <v>1</v>
      </c>
      <c r="AC544" s="7">
        <f t="shared" si="39"/>
        <v>1</v>
      </c>
      <c r="AD544" s="7"/>
      <c r="AE544" s="7"/>
      <c r="AF544" s="7"/>
      <c r="AG544" s="7"/>
      <c r="AH544" s="7"/>
      <c r="AI544" s="7"/>
      <c r="AJ544" s="7"/>
      <c r="AK544" s="7"/>
      <c r="AL544" s="9"/>
      <c r="AM544" s="7" t="s">
        <v>71</v>
      </c>
      <c r="AN544" s="7" t="s">
        <v>71</v>
      </c>
      <c r="AO544" s="12"/>
    </row>
    <row r="545" spans="1:41" s="11" customFormat="1" x14ac:dyDescent="0.25">
      <c r="A545" s="2">
        <v>544</v>
      </c>
      <c r="B545" s="7" t="s">
        <v>471</v>
      </c>
      <c r="C545" s="7" t="s">
        <v>100</v>
      </c>
      <c r="D545" s="7">
        <v>16</v>
      </c>
      <c r="E545" s="7">
        <v>16</v>
      </c>
      <c r="F545" s="8">
        <v>1</v>
      </c>
      <c r="G545" s="8">
        <v>1</v>
      </c>
      <c r="H545" s="7">
        <v>1</v>
      </c>
      <c r="I545" s="7">
        <v>1</v>
      </c>
      <c r="J545" s="9" t="s">
        <v>35</v>
      </c>
      <c r="K545" s="7">
        <v>2</v>
      </c>
      <c r="L545" s="7" t="s">
        <v>52</v>
      </c>
      <c r="M545" s="7">
        <f t="shared" si="38"/>
        <v>1</v>
      </c>
      <c r="N545" s="9" t="s">
        <v>36</v>
      </c>
      <c r="O545" s="7">
        <v>0</v>
      </c>
      <c r="P545" s="9" t="s">
        <v>37</v>
      </c>
      <c r="Q545" s="7" t="s">
        <v>52</v>
      </c>
      <c r="R545" s="7" t="s">
        <v>38</v>
      </c>
      <c r="S545" s="7"/>
      <c r="T545" s="7"/>
      <c r="U545" s="7"/>
      <c r="V545" s="7"/>
      <c r="W545" s="7"/>
      <c r="X545" s="7">
        <v>3</v>
      </c>
      <c r="Y545" s="7"/>
      <c r="Z545" s="7"/>
      <c r="AA545" s="7"/>
      <c r="AB545" s="7">
        <f t="shared" si="41"/>
        <v>1</v>
      </c>
      <c r="AC545" s="7">
        <f t="shared" si="39"/>
        <v>1</v>
      </c>
      <c r="AD545" s="7"/>
      <c r="AE545" s="7"/>
      <c r="AF545" s="7"/>
      <c r="AG545" s="7"/>
      <c r="AH545" s="7"/>
      <c r="AI545" s="7"/>
      <c r="AJ545" s="7"/>
      <c r="AK545" s="7"/>
      <c r="AL545" s="9"/>
      <c r="AM545" s="7" t="s">
        <v>71</v>
      </c>
      <c r="AN545" s="7" t="s">
        <v>71</v>
      </c>
      <c r="AO545" s="12"/>
    </row>
    <row r="546" spans="1:41" s="11" customFormat="1" x14ac:dyDescent="0.25">
      <c r="A546" s="2">
        <v>545</v>
      </c>
      <c r="B546" s="7" t="s">
        <v>471</v>
      </c>
      <c r="C546" s="7" t="s">
        <v>100</v>
      </c>
      <c r="D546" s="7">
        <v>2</v>
      </c>
      <c r="E546" s="7">
        <v>2</v>
      </c>
      <c r="F546" s="8">
        <v>1</v>
      </c>
      <c r="G546" s="8">
        <v>1</v>
      </c>
      <c r="H546" s="7">
        <v>1</v>
      </c>
      <c r="I546" s="7">
        <v>1</v>
      </c>
      <c r="J546" s="9" t="s">
        <v>176</v>
      </c>
      <c r="K546" s="7">
        <v>3</v>
      </c>
      <c r="L546" s="7" t="s">
        <v>52</v>
      </c>
      <c r="M546" s="7">
        <f t="shared" si="38"/>
        <v>1</v>
      </c>
      <c r="N546" s="9" t="s">
        <v>177</v>
      </c>
      <c r="O546" s="7">
        <v>0</v>
      </c>
      <c r="P546" s="9" t="s">
        <v>63</v>
      </c>
      <c r="Q546" s="7" t="s">
        <v>38</v>
      </c>
      <c r="R546" s="7" t="s">
        <v>38</v>
      </c>
      <c r="S546" s="10" t="s">
        <v>1656</v>
      </c>
      <c r="T546" s="7"/>
      <c r="U546" s="7"/>
      <c r="V546" s="7"/>
      <c r="W546" s="7"/>
      <c r="X546" s="7">
        <v>3</v>
      </c>
      <c r="Y546" s="7"/>
      <c r="Z546" s="7"/>
      <c r="AA546" s="7"/>
      <c r="AB546" s="7">
        <f t="shared" si="41"/>
        <v>1</v>
      </c>
      <c r="AC546" s="7">
        <f t="shared" si="39"/>
        <v>1</v>
      </c>
      <c r="AD546" s="7"/>
      <c r="AE546" s="7"/>
      <c r="AF546" s="7"/>
      <c r="AG546" s="7"/>
      <c r="AH546" s="7"/>
      <c r="AI546" s="7"/>
      <c r="AJ546" s="7"/>
      <c r="AK546" s="7"/>
      <c r="AL546" s="9"/>
      <c r="AM546" s="7" t="s">
        <v>71</v>
      </c>
      <c r="AN546" s="7" t="s">
        <v>71</v>
      </c>
      <c r="AO546" s="12"/>
    </row>
    <row r="547" spans="1:41" s="11" customFormat="1" x14ac:dyDescent="0.25">
      <c r="A547" s="2">
        <v>546</v>
      </c>
      <c r="B547" s="7" t="s">
        <v>471</v>
      </c>
      <c r="C547" s="7" t="s">
        <v>100</v>
      </c>
      <c r="D547" s="7">
        <v>10</v>
      </c>
      <c r="E547" s="7">
        <v>10</v>
      </c>
      <c r="F547" s="8">
        <v>1</v>
      </c>
      <c r="G547" s="8">
        <v>1</v>
      </c>
      <c r="H547" s="7">
        <v>1</v>
      </c>
      <c r="I547" s="7">
        <v>1</v>
      </c>
      <c r="J547" s="9" t="s">
        <v>176</v>
      </c>
      <c r="K547" s="7">
        <v>3</v>
      </c>
      <c r="L547" s="7" t="s">
        <v>52</v>
      </c>
      <c r="M547" s="7">
        <f t="shared" si="38"/>
        <v>1</v>
      </c>
      <c r="N547" s="9" t="s">
        <v>177</v>
      </c>
      <c r="O547" s="7">
        <v>0</v>
      </c>
      <c r="P547" s="9" t="s">
        <v>63</v>
      </c>
      <c r="Q547" s="7" t="s">
        <v>38</v>
      </c>
      <c r="R547" s="7" t="s">
        <v>52</v>
      </c>
      <c r="S547" s="10" t="s">
        <v>1559</v>
      </c>
      <c r="T547" s="7"/>
      <c r="U547" s="7"/>
      <c r="V547" s="7"/>
      <c r="W547" s="7"/>
      <c r="X547" s="7">
        <v>3</v>
      </c>
      <c r="Y547" s="7"/>
      <c r="Z547" s="7"/>
      <c r="AA547" s="7"/>
      <c r="AB547" s="7">
        <f t="shared" si="41"/>
        <v>1</v>
      </c>
      <c r="AC547" s="7">
        <f t="shared" si="39"/>
        <v>1</v>
      </c>
      <c r="AD547" s="7"/>
      <c r="AE547" s="7"/>
      <c r="AF547" s="7"/>
      <c r="AG547" s="7"/>
      <c r="AH547" s="7"/>
      <c r="AI547" s="7"/>
      <c r="AJ547" s="7"/>
      <c r="AK547" s="7"/>
      <c r="AL547" s="9"/>
      <c r="AM547" s="7" t="s">
        <v>71</v>
      </c>
      <c r="AN547" s="7" t="s">
        <v>71</v>
      </c>
      <c r="AO547" s="12"/>
    </row>
    <row r="548" spans="1:41" s="11" customFormat="1" ht="24" x14ac:dyDescent="0.25">
      <c r="A548" s="2">
        <v>547</v>
      </c>
      <c r="B548" s="7" t="s">
        <v>471</v>
      </c>
      <c r="C548" s="7" t="s">
        <v>50</v>
      </c>
      <c r="D548" s="7">
        <v>31</v>
      </c>
      <c r="E548" s="7">
        <v>31</v>
      </c>
      <c r="F548" s="8">
        <v>1</v>
      </c>
      <c r="G548" s="8">
        <v>1</v>
      </c>
      <c r="H548" s="7">
        <v>1</v>
      </c>
      <c r="I548" s="7">
        <v>1</v>
      </c>
      <c r="J548" s="9" t="s">
        <v>176</v>
      </c>
      <c r="K548" s="7"/>
      <c r="L548" s="7" t="s">
        <v>52</v>
      </c>
      <c r="M548" s="7">
        <f t="shared" si="38"/>
        <v>1</v>
      </c>
      <c r="N548" s="9" t="s">
        <v>109</v>
      </c>
      <c r="O548" s="7">
        <v>0</v>
      </c>
      <c r="P548" s="9" t="s">
        <v>63</v>
      </c>
      <c r="Q548" s="7" t="s">
        <v>38</v>
      </c>
      <c r="R548" s="7" t="s">
        <v>52</v>
      </c>
      <c r="S548" s="10" t="s">
        <v>1818</v>
      </c>
      <c r="T548" s="7"/>
      <c r="U548" s="7"/>
      <c r="V548" s="7"/>
      <c r="W548" s="7"/>
      <c r="X548" s="7"/>
      <c r="Y548" s="7">
        <v>15</v>
      </c>
      <c r="Z548" s="7">
        <v>15</v>
      </c>
      <c r="AA548" s="7" t="s">
        <v>427</v>
      </c>
      <c r="AB548" s="7">
        <f t="shared" si="41"/>
        <v>5</v>
      </c>
      <c r="AC548" s="7">
        <f t="shared" si="39"/>
        <v>5</v>
      </c>
      <c r="AD548" s="7"/>
      <c r="AE548" s="7"/>
      <c r="AF548" s="7"/>
      <c r="AG548" s="7"/>
      <c r="AH548" s="7"/>
      <c r="AI548" s="7"/>
      <c r="AJ548" s="7"/>
      <c r="AK548" s="7"/>
      <c r="AL548" s="9"/>
      <c r="AM548" s="7" t="s">
        <v>71</v>
      </c>
      <c r="AN548" s="7" t="s">
        <v>71</v>
      </c>
      <c r="AO548" s="15" t="s">
        <v>2547</v>
      </c>
    </row>
    <row r="549" spans="1:41" s="11" customFormat="1" x14ac:dyDescent="0.25">
      <c r="A549" s="2">
        <v>548</v>
      </c>
      <c r="B549" s="7" t="s">
        <v>471</v>
      </c>
      <c r="C549" s="7" t="s">
        <v>78</v>
      </c>
      <c r="D549" s="7">
        <v>14</v>
      </c>
      <c r="E549" s="7">
        <v>14</v>
      </c>
      <c r="F549" s="8">
        <v>1</v>
      </c>
      <c r="G549" s="8">
        <v>1</v>
      </c>
      <c r="H549" s="7">
        <v>1</v>
      </c>
      <c r="I549" s="7">
        <v>1</v>
      </c>
      <c r="J549" s="9" t="s">
        <v>176</v>
      </c>
      <c r="K549" s="7">
        <v>8</v>
      </c>
      <c r="L549" s="7" t="s">
        <v>52</v>
      </c>
      <c r="M549" s="7">
        <f t="shared" si="38"/>
        <v>1</v>
      </c>
      <c r="N549" s="9" t="s">
        <v>109</v>
      </c>
      <c r="O549" s="7">
        <v>0</v>
      </c>
      <c r="P549" s="9" t="s">
        <v>63</v>
      </c>
      <c r="Q549" s="7" t="s">
        <v>38</v>
      </c>
      <c r="R549" s="7" t="s">
        <v>52</v>
      </c>
      <c r="S549" s="10" t="s">
        <v>1819</v>
      </c>
      <c r="T549" s="7" t="s">
        <v>92</v>
      </c>
      <c r="U549" s="7">
        <v>3</v>
      </c>
      <c r="V549" s="7" t="s">
        <v>483</v>
      </c>
      <c r="W549" s="7" t="s">
        <v>377</v>
      </c>
      <c r="X549" s="7"/>
      <c r="Y549" s="7"/>
      <c r="Z549" s="7"/>
      <c r="AA549" s="7"/>
      <c r="AB549" s="7">
        <f t="shared" si="41"/>
        <v>1</v>
      </c>
      <c r="AC549" s="7">
        <f t="shared" si="39"/>
        <v>1</v>
      </c>
      <c r="AD549" s="7"/>
      <c r="AE549" s="7"/>
      <c r="AF549" s="7"/>
      <c r="AG549" s="7"/>
      <c r="AH549" s="7"/>
      <c r="AI549" s="7"/>
      <c r="AJ549" s="7"/>
      <c r="AK549" s="7"/>
      <c r="AL549" s="9"/>
      <c r="AM549" s="7" t="s">
        <v>215</v>
      </c>
      <c r="AN549" s="7" t="s">
        <v>2850</v>
      </c>
      <c r="AO549" s="12"/>
    </row>
    <row r="550" spans="1:41" s="11" customFormat="1" x14ac:dyDescent="0.25">
      <c r="A550" s="2">
        <v>549</v>
      </c>
      <c r="B550" s="7" t="s">
        <v>471</v>
      </c>
      <c r="C550" s="7" t="s">
        <v>100</v>
      </c>
      <c r="D550" s="7">
        <v>7</v>
      </c>
      <c r="E550" s="7">
        <v>7</v>
      </c>
      <c r="F550" s="8">
        <v>1</v>
      </c>
      <c r="G550" s="8">
        <v>1</v>
      </c>
      <c r="H550" s="7">
        <v>1</v>
      </c>
      <c r="I550" s="7">
        <v>1</v>
      </c>
      <c r="J550" s="9" t="s">
        <v>176</v>
      </c>
      <c r="K550" s="7">
        <v>8</v>
      </c>
      <c r="L550" s="7" t="s">
        <v>52</v>
      </c>
      <c r="M550" s="7">
        <f t="shared" si="38"/>
        <v>1</v>
      </c>
      <c r="N550" s="9" t="s">
        <v>109</v>
      </c>
      <c r="O550" s="7">
        <v>0</v>
      </c>
      <c r="P550" s="9" t="s">
        <v>63</v>
      </c>
      <c r="Q550" s="7" t="s">
        <v>38</v>
      </c>
      <c r="R550" s="7" t="s">
        <v>52</v>
      </c>
      <c r="S550" s="10" t="s">
        <v>1820</v>
      </c>
      <c r="T550" s="7"/>
      <c r="U550" s="7"/>
      <c r="V550" s="7"/>
      <c r="W550" s="7"/>
      <c r="X550" s="7">
        <v>3</v>
      </c>
      <c r="Y550" s="7"/>
      <c r="Z550" s="7"/>
      <c r="AA550" s="7"/>
      <c r="AB550" s="7">
        <f t="shared" si="41"/>
        <v>1</v>
      </c>
      <c r="AC550" s="7">
        <f t="shared" si="39"/>
        <v>1</v>
      </c>
      <c r="AD550" s="7"/>
      <c r="AE550" s="7"/>
      <c r="AF550" s="7"/>
      <c r="AG550" s="7"/>
      <c r="AH550" s="7"/>
      <c r="AI550" s="7"/>
      <c r="AJ550" s="7"/>
      <c r="AK550" s="7"/>
      <c r="AL550" s="9"/>
      <c r="AM550" s="7" t="s">
        <v>71</v>
      </c>
      <c r="AN550" s="7" t="s">
        <v>71</v>
      </c>
      <c r="AO550" s="12"/>
    </row>
    <row r="551" spans="1:41" s="11" customFormat="1" x14ac:dyDescent="0.25">
      <c r="A551" s="2">
        <v>550</v>
      </c>
      <c r="B551" s="7" t="s">
        <v>471</v>
      </c>
      <c r="C551" s="7" t="s">
        <v>100</v>
      </c>
      <c r="D551" s="7">
        <v>6</v>
      </c>
      <c r="E551" s="7">
        <v>6</v>
      </c>
      <c r="F551" s="8">
        <v>1</v>
      </c>
      <c r="G551" s="8">
        <v>1</v>
      </c>
      <c r="H551" s="7">
        <v>1</v>
      </c>
      <c r="I551" s="7">
        <v>1</v>
      </c>
      <c r="J551" s="9" t="s">
        <v>35</v>
      </c>
      <c r="K551" s="7">
        <v>2</v>
      </c>
      <c r="L551" s="7" t="s">
        <v>52</v>
      </c>
      <c r="M551" s="7">
        <f t="shared" si="38"/>
        <v>1</v>
      </c>
      <c r="N551" s="9" t="s">
        <v>36</v>
      </c>
      <c r="O551" s="7">
        <v>0</v>
      </c>
      <c r="P551" s="9" t="s">
        <v>63</v>
      </c>
      <c r="Q551" s="7" t="s">
        <v>38</v>
      </c>
      <c r="R551" s="7" t="s">
        <v>38</v>
      </c>
      <c r="S551" s="7"/>
      <c r="T551" s="7"/>
      <c r="U551" s="7"/>
      <c r="V551" s="7"/>
      <c r="W551" s="7"/>
      <c r="X551" s="7">
        <v>3</v>
      </c>
      <c r="Y551" s="7"/>
      <c r="Z551" s="7"/>
      <c r="AA551" s="7"/>
      <c r="AB551" s="7">
        <f t="shared" si="41"/>
        <v>1</v>
      </c>
      <c r="AC551" s="7">
        <f t="shared" si="39"/>
        <v>1</v>
      </c>
      <c r="AD551" s="7"/>
      <c r="AE551" s="7"/>
      <c r="AF551" s="7"/>
      <c r="AG551" s="7"/>
      <c r="AH551" s="7"/>
      <c r="AI551" s="7"/>
      <c r="AJ551" s="7"/>
      <c r="AK551" s="7"/>
      <c r="AL551" s="9"/>
      <c r="AM551" s="7" t="s">
        <v>71</v>
      </c>
      <c r="AN551" s="7" t="s">
        <v>71</v>
      </c>
      <c r="AO551" s="12"/>
    </row>
    <row r="552" spans="1:41" s="11" customFormat="1" x14ac:dyDescent="0.25">
      <c r="A552" s="2">
        <v>551</v>
      </c>
      <c r="B552" s="7" t="s">
        <v>471</v>
      </c>
      <c r="C552" s="7" t="s">
        <v>78</v>
      </c>
      <c r="D552" s="7">
        <v>56</v>
      </c>
      <c r="E552" s="7">
        <v>56</v>
      </c>
      <c r="F552" s="8">
        <v>1</v>
      </c>
      <c r="G552" s="8">
        <v>1</v>
      </c>
      <c r="H552" s="7">
        <v>1</v>
      </c>
      <c r="I552" s="7">
        <v>1</v>
      </c>
      <c r="J552" s="9" t="s">
        <v>219</v>
      </c>
      <c r="K552" s="7">
        <v>5</v>
      </c>
      <c r="L552" s="7" t="s">
        <v>52</v>
      </c>
      <c r="M552" s="7">
        <f t="shared" si="38"/>
        <v>1</v>
      </c>
      <c r="N552" s="9" t="s">
        <v>34</v>
      </c>
      <c r="O552" s="7">
        <v>0</v>
      </c>
      <c r="P552" s="9" t="s">
        <v>34</v>
      </c>
      <c r="Q552" s="7" t="s">
        <v>38</v>
      </c>
      <c r="R552" s="7" t="s">
        <v>38</v>
      </c>
      <c r="S552" s="10" t="s">
        <v>1821</v>
      </c>
      <c r="T552" s="7">
        <v>17</v>
      </c>
      <c r="U552" s="7">
        <v>17</v>
      </c>
      <c r="V552" s="7">
        <v>170</v>
      </c>
      <c r="W552" s="7" t="s">
        <v>377</v>
      </c>
      <c r="X552" s="7"/>
      <c r="Y552" s="7"/>
      <c r="Z552" s="7"/>
      <c r="AA552" s="7"/>
      <c r="AB552" s="7">
        <f t="shared" si="41"/>
        <v>5.666666666666667</v>
      </c>
      <c r="AC552" s="7">
        <f t="shared" si="39"/>
        <v>5.666666666666667</v>
      </c>
      <c r="AD552" s="7"/>
      <c r="AE552" s="7"/>
      <c r="AF552" s="7"/>
      <c r="AG552" s="7"/>
      <c r="AH552" s="7"/>
      <c r="AI552" s="7"/>
      <c r="AJ552" s="7"/>
      <c r="AK552" s="7"/>
      <c r="AL552" s="9"/>
      <c r="AM552" s="7" t="s">
        <v>362</v>
      </c>
      <c r="AN552" s="7" t="s">
        <v>662</v>
      </c>
      <c r="AO552" s="12"/>
    </row>
    <row r="553" spans="1:41" s="11" customFormat="1" ht="36" x14ac:dyDescent="0.25">
      <c r="A553" s="2">
        <v>552</v>
      </c>
      <c r="B553" s="7" t="s">
        <v>471</v>
      </c>
      <c r="C553" s="7" t="s">
        <v>78</v>
      </c>
      <c r="D553" s="7">
        <v>50</v>
      </c>
      <c r="E553" s="7">
        <v>50</v>
      </c>
      <c r="F553" s="8">
        <v>1</v>
      </c>
      <c r="G553" s="8">
        <v>1</v>
      </c>
      <c r="H553" s="7">
        <v>1</v>
      </c>
      <c r="I553" s="7">
        <v>1</v>
      </c>
      <c r="J553" s="9" t="s">
        <v>219</v>
      </c>
      <c r="K553" s="7">
        <v>5</v>
      </c>
      <c r="L553" s="7" t="s">
        <v>52</v>
      </c>
      <c r="M553" s="7">
        <f t="shared" si="38"/>
        <v>1</v>
      </c>
      <c r="N553" s="9" t="s">
        <v>34</v>
      </c>
      <c r="O553" s="7">
        <v>0</v>
      </c>
      <c r="P553" s="9" t="s">
        <v>34</v>
      </c>
      <c r="Q553" s="7" t="s">
        <v>38</v>
      </c>
      <c r="R553" s="7" t="s">
        <v>38</v>
      </c>
      <c r="S553" s="10" t="s">
        <v>1821</v>
      </c>
      <c r="T553" s="7">
        <v>10</v>
      </c>
      <c r="U553" s="7">
        <v>10</v>
      </c>
      <c r="V553" s="7">
        <v>220</v>
      </c>
      <c r="W553" s="7" t="s">
        <v>484</v>
      </c>
      <c r="X553" s="7"/>
      <c r="Y553" s="7"/>
      <c r="Z553" s="7"/>
      <c r="AA553" s="7"/>
      <c r="AB553" s="7">
        <f t="shared" si="41"/>
        <v>3.3333333333333335</v>
      </c>
      <c r="AC553" s="7">
        <f t="shared" si="39"/>
        <v>3.3333333333333335</v>
      </c>
      <c r="AD553" s="7"/>
      <c r="AE553" s="7"/>
      <c r="AF553" s="7"/>
      <c r="AG553" s="7"/>
      <c r="AH553" s="7"/>
      <c r="AI553" s="7"/>
      <c r="AJ553" s="7"/>
      <c r="AK553" s="10" t="s">
        <v>2445</v>
      </c>
      <c r="AL553" s="9"/>
      <c r="AM553" s="7" t="s">
        <v>362</v>
      </c>
      <c r="AN553" s="7" t="s">
        <v>662</v>
      </c>
      <c r="AO553" s="12"/>
    </row>
    <row r="554" spans="1:41" s="11" customFormat="1" x14ac:dyDescent="0.25">
      <c r="A554" s="2">
        <v>553</v>
      </c>
      <c r="B554" s="7" t="s">
        <v>471</v>
      </c>
      <c r="C554" s="7" t="s">
        <v>100</v>
      </c>
      <c r="D554" s="7">
        <v>15</v>
      </c>
      <c r="E554" s="7">
        <v>15</v>
      </c>
      <c r="F554" s="8">
        <v>1</v>
      </c>
      <c r="G554" s="8">
        <v>1</v>
      </c>
      <c r="H554" s="7">
        <v>1</v>
      </c>
      <c r="I554" s="7">
        <v>1</v>
      </c>
      <c r="J554" s="9" t="s">
        <v>219</v>
      </c>
      <c r="K554" s="7">
        <v>5</v>
      </c>
      <c r="L554" s="7" t="s">
        <v>52</v>
      </c>
      <c r="M554" s="7">
        <f t="shared" si="38"/>
        <v>1</v>
      </c>
      <c r="N554" s="9" t="s">
        <v>82</v>
      </c>
      <c r="O554" s="7">
        <v>0</v>
      </c>
      <c r="P554" s="9" t="s">
        <v>36</v>
      </c>
      <c r="Q554" s="7" t="s">
        <v>38</v>
      </c>
      <c r="R554" s="7" t="s">
        <v>38</v>
      </c>
      <c r="S554" s="7"/>
      <c r="T554" s="7"/>
      <c r="U554" s="7"/>
      <c r="V554" s="7"/>
      <c r="W554" s="7"/>
      <c r="X554" s="7">
        <v>3</v>
      </c>
      <c r="Y554" s="7"/>
      <c r="Z554" s="7"/>
      <c r="AA554" s="7"/>
      <c r="AB554" s="7">
        <f t="shared" si="41"/>
        <v>1</v>
      </c>
      <c r="AC554" s="7">
        <f t="shared" si="39"/>
        <v>1</v>
      </c>
      <c r="AD554" s="7"/>
      <c r="AE554" s="7"/>
      <c r="AF554" s="7"/>
      <c r="AG554" s="7"/>
      <c r="AH554" s="7"/>
      <c r="AI554" s="7"/>
      <c r="AJ554" s="7"/>
      <c r="AK554" s="7"/>
      <c r="AL554" s="9"/>
      <c r="AM554" s="7" t="s">
        <v>71</v>
      </c>
      <c r="AN554" s="7" t="s">
        <v>71</v>
      </c>
      <c r="AO554" s="12"/>
    </row>
    <row r="555" spans="1:41" s="11" customFormat="1" x14ac:dyDescent="0.25">
      <c r="A555" s="2">
        <v>554</v>
      </c>
      <c r="B555" s="7" t="s">
        <v>471</v>
      </c>
      <c r="C555" s="7" t="s">
        <v>119</v>
      </c>
      <c r="D555" s="7">
        <v>28</v>
      </c>
      <c r="E555" s="7">
        <v>28</v>
      </c>
      <c r="F555" s="8">
        <v>1</v>
      </c>
      <c r="G555" s="8">
        <v>1</v>
      </c>
      <c r="H555" s="7">
        <v>1</v>
      </c>
      <c r="I555" s="7">
        <v>1</v>
      </c>
      <c r="J555" s="9" t="s">
        <v>219</v>
      </c>
      <c r="K555" s="7">
        <v>6</v>
      </c>
      <c r="L555" s="7" t="s">
        <v>52</v>
      </c>
      <c r="M555" s="7">
        <f t="shared" si="38"/>
        <v>1</v>
      </c>
      <c r="N555" s="9" t="s">
        <v>34</v>
      </c>
      <c r="O555" s="7">
        <v>0</v>
      </c>
      <c r="P555" s="9" t="s">
        <v>33</v>
      </c>
      <c r="Q555" s="7"/>
      <c r="R555" s="7" t="s">
        <v>38</v>
      </c>
      <c r="S555" s="10" t="s">
        <v>1822</v>
      </c>
      <c r="T555" s="7"/>
      <c r="U555" s="7"/>
      <c r="V555" s="7"/>
      <c r="W555" s="7"/>
      <c r="X555" s="7"/>
      <c r="Y555" s="7"/>
      <c r="Z555" s="7"/>
      <c r="AA555" s="7"/>
      <c r="AB555" s="7">
        <v>0.33333333333333298</v>
      </c>
      <c r="AC555" s="7">
        <f t="shared" si="39"/>
        <v>0.33333333333333298</v>
      </c>
      <c r="AD555" s="7">
        <v>1</v>
      </c>
      <c r="AE555" s="7"/>
      <c r="AF555" s="7" t="s">
        <v>155</v>
      </c>
      <c r="AG555" s="7" t="s">
        <v>473</v>
      </c>
      <c r="AH555" s="7"/>
      <c r="AI555" s="7"/>
      <c r="AJ555" s="7"/>
      <c r="AK555" s="7"/>
      <c r="AL555" s="9"/>
      <c r="AM555" s="7" t="s">
        <v>71</v>
      </c>
      <c r="AN555" s="7" t="s">
        <v>71</v>
      </c>
      <c r="AO555" s="12"/>
    </row>
    <row r="556" spans="1:41" s="11" customFormat="1" x14ac:dyDescent="0.25">
      <c r="A556" s="2">
        <v>555</v>
      </c>
      <c r="B556" s="7" t="s">
        <v>471</v>
      </c>
      <c r="C556" s="7" t="s">
        <v>485</v>
      </c>
      <c r="D556" s="7">
        <v>25</v>
      </c>
      <c r="E556" s="7">
        <v>25</v>
      </c>
      <c r="F556" s="8">
        <v>1</v>
      </c>
      <c r="G556" s="8">
        <v>1</v>
      </c>
      <c r="H556" s="7">
        <v>1</v>
      </c>
      <c r="I556" s="7">
        <v>1</v>
      </c>
      <c r="J556" s="9" t="s">
        <v>219</v>
      </c>
      <c r="K556" s="7">
        <v>13</v>
      </c>
      <c r="L556" s="7" t="s">
        <v>52</v>
      </c>
      <c r="M556" s="7">
        <f t="shared" si="38"/>
        <v>1</v>
      </c>
      <c r="N556" s="9" t="s">
        <v>82</v>
      </c>
      <c r="O556" s="7">
        <v>0</v>
      </c>
      <c r="P556" s="9" t="s">
        <v>36</v>
      </c>
      <c r="Q556" s="7"/>
      <c r="R556" s="7" t="s">
        <v>38</v>
      </c>
      <c r="S556" s="10" t="s">
        <v>1823</v>
      </c>
      <c r="T556" s="7"/>
      <c r="U556" s="7"/>
      <c r="V556" s="7"/>
      <c r="W556" s="7"/>
      <c r="X556" s="7"/>
      <c r="Y556" s="7"/>
      <c r="Z556" s="7"/>
      <c r="AA556" s="7"/>
      <c r="AB556" s="7">
        <v>0.33333333333333298</v>
      </c>
      <c r="AC556" s="7">
        <f t="shared" si="39"/>
        <v>0.33333333333333298</v>
      </c>
      <c r="AD556" s="7">
        <v>1</v>
      </c>
      <c r="AE556" s="7"/>
      <c r="AF556" s="7" t="s">
        <v>155</v>
      </c>
      <c r="AG556" s="7"/>
      <c r="AH556" s="7"/>
      <c r="AI556" s="7"/>
      <c r="AJ556" s="7"/>
      <c r="AK556" s="7"/>
      <c r="AL556" s="9"/>
      <c r="AM556" s="7" t="s">
        <v>71</v>
      </c>
      <c r="AN556" s="7" t="s">
        <v>71</v>
      </c>
      <c r="AO556" s="12"/>
    </row>
    <row r="557" spans="1:41" s="11" customFormat="1" x14ac:dyDescent="0.25">
      <c r="A557" s="2">
        <v>556</v>
      </c>
      <c r="B557" s="7" t="s">
        <v>471</v>
      </c>
      <c r="C557" s="7" t="s">
        <v>100</v>
      </c>
      <c r="D557" s="7">
        <v>5</v>
      </c>
      <c r="E557" s="7">
        <v>5</v>
      </c>
      <c r="F557" s="8">
        <v>1</v>
      </c>
      <c r="G557" s="8">
        <v>1</v>
      </c>
      <c r="H557" s="7">
        <v>1</v>
      </c>
      <c r="I557" s="7">
        <v>1</v>
      </c>
      <c r="J557" s="9" t="s">
        <v>219</v>
      </c>
      <c r="K557" s="7">
        <v>4</v>
      </c>
      <c r="L557" s="7" t="s">
        <v>52</v>
      </c>
      <c r="M557" s="7">
        <f t="shared" si="38"/>
        <v>1</v>
      </c>
      <c r="N557" s="9" t="s">
        <v>34</v>
      </c>
      <c r="O557" s="7">
        <v>0</v>
      </c>
      <c r="P557" s="9" t="s">
        <v>36</v>
      </c>
      <c r="Q557" s="7" t="s">
        <v>38</v>
      </c>
      <c r="R557" s="7" t="s">
        <v>38</v>
      </c>
      <c r="S557" s="10" t="s">
        <v>1756</v>
      </c>
      <c r="T557" s="7"/>
      <c r="U557" s="7"/>
      <c r="V557" s="7"/>
      <c r="W557" s="7"/>
      <c r="X557" s="7">
        <v>3</v>
      </c>
      <c r="Y557" s="7"/>
      <c r="Z557" s="7"/>
      <c r="AA557" s="7"/>
      <c r="AB557" s="7">
        <f t="shared" ref="AB557:AB588" si="42">(U557+X557+Z557)/3</f>
        <v>1</v>
      </c>
      <c r="AC557" s="7">
        <f t="shared" si="39"/>
        <v>1</v>
      </c>
      <c r="AD557" s="7"/>
      <c r="AE557" s="7"/>
      <c r="AF557" s="7"/>
      <c r="AG557" s="7"/>
      <c r="AH557" s="7"/>
      <c r="AI557" s="7"/>
      <c r="AJ557" s="7"/>
      <c r="AK557" s="7"/>
      <c r="AL557" s="9"/>
      <c r="AM557" s="7" t="s">
        <v>71</v>
      </c>
      <c r="AN557" s="7" t="s">
        <v>71</v>
      </c>
      <c r="AO557" s="12"/>
    </row>
    <row r="558" spans="1:41" s="11" customFormat="1" ht="24" x14ac:dyDescent="0.25">
      <c r="A558" s="2">
        <v>557</v>
      </c>
      <c r="B558" s="7" t="s">
        <v>471</v>
      </c>
      <c r="C558" s="7" t="s">
        <v>245</v>
      </c>
      <c r="D558" s="7">
        <v>190</v>
      </c>
      <c r="E558" s="7">
        <v>190</v>
      </c>
      <c r="F558" s="8">
        <v>1</v>
      </c>
      <c r="G558" s="8">
        <v>1</v>
      </c>
      <c r="H558" s="7">
        <v>1</v>
      </c>
      <c r="I558" s="7">
        <v>1</v>
      </c>
      <c r="J558" s="9" t="s">
        <v>219</v>
      </c>
      <c r="K558" s="7">
        <v>1</v>
      </c>
      <c r="L558" s="7" t="s">
        <v>52</v>
      </c>
      <c r="M558" s="7">
        <f t="shared" si="38"/>
        <v>1</v>
      </c>
      <c r="N558" s="9" t="s">
        <v>34</v>
      </c>
      <c r="O558" s="7">
        <v>4</v>
      </c>
      <c r="P558" s="9" t="s">
        <v>63</v>
      </c>
      <c r="Q558" s="7" t="s">
        <v>38</v>
      </c>
      <c r="R558" s="7" t="s">
        <v>38</v>
      </c>
      <c r="S558" s="10" t="s">
        <v>1824</v>
      </c>
      <c r="T558" s="7">
        <v>12</v>
      </c>
      <c r="U558" s="7">
        <v>12</v>
      </c>
      <c r="V558" s="7" t="s">
        <v>325</v>
      </c>
      <c r="W558" s="7" t="s">
        <v>486</v>
      </c>
      <c r="X558" s="7"/>
      <c r="Y558" s="7"/>
      <c r="Z558" s="7"/>
      <c r="AA558" s="7"/>
      <c r="AB558" s="7">
        <f t="shared" si="42"/>
        <v>4</v>
      </c>
      <c r="AC558" s="7">
        <f t="shared" si="39"/>
        <v>4</v>
      </c>
      <c r="AD558" s="7"/>
      <c r="AE558" s="7">
        <v>1</v>
      </c>
      <c r="AF558" s="7" t="s">
        <v>155</v>
      </c>
      <c r="AG558" s="7" t="s">
        <v>473</v>
      </c>
      <c r="AH558" s="7"/>
      <c r="AI558" s="7"/>
      <c r="AJ558" s="7"/>
      <c r="AK558" s="10" t="s">
        <v>2446</v>
      </c>
      <c r="AL558" s="9"/>
      <c r="AM558" s="7" t="s">
        <v>487</v>
      </c>
      <c r="AN558" s="7" t="s">
        <v>662</v>
      </c>
      <c r="AO558" s="12"/>
    </row>
    <row r="559" spans="1:41" s="11" customFormat="1" x14ac:dyDescent="0.25">
      <c r="A559" s="2">
        <v>558</v>
      </c>
      <c r="B559" s="7" t="s">
        <v>471</v>
      </c>
      <c r="C559" s="7" t="s">
        <v>104</v>
      </c>
      <c r="D559" s="7">
        <v>24</v>
      </c>
      <c r="E559" s="7">
        <v>24</v>
      </c>
      <c r="F559" s="8">
        <v>1</v>
      </c>
      <c r="G559" s="8">
        <v>1</v>
      </c>
      <c r="H559" s="7">
        <v>1</v>
      </c>
      <c r="I559" s="7">
        <v>1</v>
      </c>
      <c r="J559" s="9" t="s">
        <v>219</v>
      </c>
      <c r="K559" s="7">
        <v>1</v>
      </c>
      <c r="L559" s="7" t="s">
        <v>52</v>
      </c>
      <c r="M559" s="7">
        <f t="shared" si="38"/>
        <v>1</v>
      </c>
      <c r="N559" s="9" t="s">
        <v>34</v>
      </c>
      <c r="O559" s="7">
        <v>0</v>
      </c>
      <c r="P559" s="9" t="s">
        <v>34</v>
      </c>
      <c r="Q559" s="7" t="s">
        <v>38</v>
      </c>
      <c r="R559" s="7" t="s">
        <v>38</v>
      </c>
      <c r="S559" s="10" t="s">
        <v>1710</v>
      </c>
      <c r="T559" s="7"/>
      <c r="U559" s="7"/>
      <c r="V559" s="7"/>
      <c r="W559" s="7"/>
      <c r="X559" s="7">
        <v>3</v>
      </c>
      <c r="Y559" s="7"/>
      <c r="Z559" s="7"/>
      <c r="AA559" s="7"/>
      <c r="AB559" s="7">
        <f t="shared" si="42"/>
        <v>1</v>
      </c>
      <c r="AC559" s="7">
        <f t="shared" si="39"/>
        <v>1</v>
      </c>
      <c r="AD559" s="7"/>
      <c r="AE559" s="7">
        <v>1</v>
      </c>
      <c r="AF559" s="7"/>
      <c r="AG559" s="7" t="s">
        <v>488</v>
      </c>
      <c r="AH559" s="7"/>
      <c r="AI559" s="7"/>
      <c r="AJ559" s="7"/>
      <c r="AK559" s="7"/>
      <c r="AL559" s="9"/>
      <c r="AM559" s="7" t="s">
        <v>71</v>
      </c>
      <c r="AN559" s="7" t="s">
        <v>71</v>
      </c>
      <c r="AO559" s="12"/>
    </row>
    <row r="560" spans="1:41" s="11" customFormat="1" x14ac:dyDescent="0.25">
      <c r="A560" s="2">
        <v>559</v>
      </c>
      <c r="B560" s="7" t="s">
        <v>471</v>
      </c>
      <c r="C560" s="7" t="s">
        <v>50</v>
      </c>
      <c r="D560" s="7">
        <v>19</v>
      </c>
      <c r="E560" s="7">
        <v>19</v>
      </c>
      <c r="F560" s="8">
        <v>1</v>
      </c>
      <c r="G560" s="8">
        <v>1</v>
      </c>
      <c r="H560" s="7">
        <v>1</v>
      </c>
      <c r="I560" s="7">
        <v>1</v>
      </c>
      <c r="J560" s="9" t="s">
        <v>219</v>
      </c>
      <c r="K560" s="7">
        <v>1</v>
      </c>
      <c r="L560" s="7" t="s">
        <v>52</v>
      </c>
      <c r="M560" s="7">
        <f t="shared" si="38"/>
        <v>1</v>
      </c>
      <c r="N560" s="9" t="s">
        <v>37</v>
      </c>
      <c r="O560" s="7">
        <v>0</v>
      </c>
      <c r="P560" s="9" t="s">
        <v>63</v>
      </c>
      <c r="Q560" s="7" t="s">
        <v>38</v>
      </c>
      <c r="R560" s="7" t="s">
        <v>52</v>
      </c>
      <c r="S560" s="10" t="s">
        <v>1825</v>
      </c>
      <c r="T560" s="7"/>
      <c r="U560" s="7"/>
      <c r="V560" s="7"/>
      <c r="W560" s="7"/>
      <c r="X560" s="7"/>
      <c r="Y560" s="7">
        <v>5</v>
      </c>
      <c r="Z560" s="7">
        <v>5</v>
      </c>
      <c r="AA560" s="7" t="s">
        <v>403</v>
      </c>
      <c r="AB560" s="7">
        <f t="shared" si="42"/>
        <v>1.6666666666666667</v>
      </c>
      <c r="AC560" s="7">
        <f t="shared" si="39"/>
        <v>1.6666666666666667</v>
      </c>
      <c r="AD560" s="7"/>
      <c r="AE560" s="7"/>
      <c r="AF560" s="7"/>
      <c r="AG560" s="7"/>
      <c r="AH560" s="7"/>
      <c r="AI560" s="7"/>
      <c r="AJ560" s="7"/>
      <c r="AK560" s="7"/>
      <c r="AL560" s="9"/>
      <c r="AM560" s="7" t="s">
        <v>71</v>
      </c>
      <c r="AN560" s="7" t="s">
        <v>71</v>
      </c>
      <c r="AO560" s="12"/>
    </row>
    <row r="561" spans="1:41" s="11" customFormat="1" x14ac:dyDescent="0.25">
      <c r="A561" s="2">
        <v>560</v>
      </c>
      <c r="B561" s="7" t="s">
        <v>471</v>
      </c>
      <c r="C561" s="7" t="s">
        <v>100</v>
      </c>
      <c r="D561" s="7">
        <v>9</v>
      </c>
      <c r="E561" s="7">
        <v>9</v>
      </c>
      <c r="F561" s="8">
        <v>1</v>
      </c>
      <c r="G561" s="8">
        <v>1</v>
      </c>
      <c r="H561" s="7">
        <v>1</v>
      </c>
      <c r="I561" s="7">
        <v>1</v>
      </c>
      <c r="J561" s="9" t="s">
        <v>219</v>
      </c>
      <c r="K561" s="7">
        <v>1</v>
      </c>
      <c r="L561" s="7" t="s">
        <v>52</v>
      </c>
      <c r="M561" s="7">
        <f t="shared" si="38"/>
        <v>1</v>
      </c>
      <c r="N561" s="9" t="s">
        <v>37</v>
      </c>
      <c r="O561" s="7">
        <v>3</v>
      </c>
      <c r="P561" s="9" t="s">
        <v>63</v>
      </c>
      <c r="Q561" s="7" t="s">
        <v>38</v>
      </c>
      <c r="R561" s="7" t="s">
        <v>38</v>
      </c>
      <c r="S561" s="7"/>
      <c r="T561" s="7"/>
      <c r="U561" s="7"/>
      <c r="V561" s="7"/>
      <c r="W561" s="7"/>
      <c r="X561" s="7">
        <v>3</v>
      </c>
      <c r="Y561" s="7"/>
      <c r="Z561" s="7"/>
      <c r="AA561" s="7"/>
      <c r="AB561" s="7">
        <f t="shared" si="42"/>
        <v>1</v>
      </c>
      <c r="AC561" s="7">
        <f t="shared" si="39"/>
        <v>1</v>
      </c>
      <c r="AD561" s="7"/>
      <c r="AE561" s="7"/>
      <c r="AF561" s="7"/>
      <c r="AG561" s="7"/>
      <c r="AH561" s="7"/>
      <c r="AI561" s="7"/>
      <c r="AJ561" s="7"/>
      <c r="AK561" s="7"/>
      <c r="AL561" s="9"/>
      <c r="AM561" s="7" t="s">
        <v>71</v>
      </c>
      <c r="AN561" s="7" t="s">
        <v>71</v>
      </c>
      <c r="AO561" s="12"/>
    </row>
    <row r="562" spans="1:41" s="11" customFormat="1" x14ac:dyDescent="0.25">
      <c r="A562" s="2">
        <v>561</v>
      </c>
      <c r="B562" s="7" t="s">
        <v>471</v>
      </c>
      <c r="C562" s="7" t="s">
        <v>100</v>
      </c>
      <c r="D562" s="7">
        <v>4</v>
      </c>
      <c r="E562" s="7">
        <v>4</v>
      </c>
      <c r="F562" s="8">
        <v>1</v>
      </c>
      <c r="G562" s="8">
        <v>1</v>
      </c>
      <c r="H562" s="7">
        <v>1</v>
      </c>
      <c r="I562" s="7">
        <v>1</v>
      </c>
      <c r="J562" s="9" t="s">
        <v>219</v>
      </c>
      <c r="K562" s="7">
        <v>1</v>
      </c>
      <c r="L562" s="7" t="s">
        <v>52</v>
      </c>
      <c r="M562" s="7">
        <f t="shared" si="38"/>
        <v>1</v>
      </c>
      <c r="N562" s="9" t="s">
        <v>34</v>
      </c>
      <c r="O562" s="7">
        <v>0</v>
      </c>
      <c r="P562" s="9" t="s">
        <v>37</v>
      </c>
      <c r="Q562" s="7" t="s">
        <v>52</v>
      </c>
      <c r="R562" s="7" t="s">
        <v>38</v>
      </c>
      <c r="S562" s="10" t="s">
        <v>1537</v>
      </c>
      <c r="T562" s="7"/>
      <c r="U562" s="7"/>
      <c r="V562" s="7"/>
      <c r="W562" s="7"/>
      <c r="X562" s="7">
        <v>3</v>
      </c>
      <c r="Y562" s="7"/>
      <c r="Z562" s="7"/>
      <c r="AA562" s="7"/>
      <c r="AB562" s="7">
        <f t="shared" si="42"/>
        <v>1</v>
      </c>
      <c r="AC562" s="7">
        <f t="shared" si="39"/>
        <v>1</v>
      </c>
      <c r="AD562" s="7"/>
      <c r="AE562" s="7"/>
      <c r="AF562" s="7"/>
      <c r="AG562" s="7"/>
      <c r="AH562" s="7"/>
      <c r="AI562" s="7"/>
      <c r="AJ562" s="7"/>
      <c r="AK562" s="7"/>
      <c r="AL562" s="9"/>
      <c r="AM562" s="7" t="s">
        <v>71</v>
      </c>
      <c r="AN562" s="7" t="s">
        <v>71</v>
      </c>
      <c r="AO562" s="12"/>
    </row>
    <row r="563" spans="1:41" s="11" customFormat="1" x14ac:dyDescent="0.25">
      <c r="A563" s="2">
        <v>562</v>
      </c>
      <c r="B563" s="7" t="s">
        <v>471</v>
      </c>
      <c r="C563" s="7" t="s">
        <v>100</v>
      </c>
      <c r="D563" s="7">
        <v>4</v>
      </c>
      <c r="E563" s="7">
        <v>4</v>
      </c>
      <c r="F563" s="8">
        <v>1</v>
      </c>
      <c r="G563" s="8">
        <v>1</v>
      </c>
      <c r="H563" s="7">
        <v>1</v>
      </c>
      <c r="I563" s="7">
        <v>1</v>
      </c>
      <c r="J563" s="9" t="s">
        <v>219</v>
      </c>
      <c r="K563" s="7">
        <v>1</v>
      </c>
      <c r="L563" s="7" t="s">
        <v>52</v>
      </c>
      <c r="M563" s="7">
        <f t="shared" si="38"/>
        <v>1</v>
      </c>
      <c r="N563" s="9" t="s">
        <v>34</v>
      </c>
      <c r="O563" s="7">
        <v>1</v>
      </c>
      <c r="P563" s="9" t="s">
        <v>63</v>
      </c>
      <c r="Q563" s="7" t="s">
        <v>38</v>
      </c>
      <c r="R563" s="7" t="s">
        <v>38</v>
      </c>
      <c r="S563" s="7"/>
      <c r="T563" s="7"/>
      <c r="U563" s="7"/>
      <c r="V563" s="7"/>
      <c r="W563" s="7"/>
      <c r="X563" s="7">
        <v>3</v>
      </c>
      <c r="Y563" s="7"/>
      <c r="Z563" s="7"/>
      <c r="AA563" s="7"/>
      <c r="AB563" s="7">
        <f t="shared" si="42"/>
        <v>1</v>
      </c>
      <c r="AC563" s="7">
        <f t="shared" si="39"/>
        <v>1</v>
      </c>
      <c r="AD563" s="7"/>
      <c r="AE563" s="7"/>
      <c r="AF563" s="7"/>
      <c r="AG563" s="7"/>
      <c r="AH563" s="7"/>
      <c r="AI563" s="7"/>
      <c r="AJ563" s="7"/>
      <c r="AK563" s="7"/>
      <c r="AL563" s="9"/>
      <c r="AM563" s="7" t="s">
        <v>71</v>
      </c>
      <c r="AN563" s="7" t="s">
        <v>71</v>
      </c>
      <c r="AO563" s="12"/>
    </row>
    <row r="564" spans="1:41" s="11" customFormat="1" x14ac:dyDescent="0.25">
      <c r="A564" s="2">
        <v>563</v>
      </c>
      <c r="B564" s="7" t="s">
        <v>471</v>
      </c>
      <c r="C564" s="7" t="s">
        <v>100</v>
      </c>
      <c r="D564" s="7">
        <v>15</v>
      </c>
      <c r="E564" s="7">
        <v>15</v>
      </c>
      <c r="F564" s="8">
        <v>1</v>
      </c>
      <c r="G564" s="8">
        <v>1</v>
      </c>
      <c r="H564" s="7">
        <v>1</v>
      </c>
      <c r="I564" s="7">
        <v>1</v>
      </c>
      <c r="J564" s="9" t="s">
        <v>219</v>
      </c>
      <c r="K564" s="7">
        <v>13</v>
      </c>
      <c r="L564" s="7" t="s">
        <v>52</v>
      </c>
      <c r="M564" s="7">
        <f t="shared" si="38"/>
        <v>1</v>
      </c>
      <c r="N564" s="9" t="s">
        <v>82</v>
      </c>
      <c r="O564" s="7">
        <v>0</v>
      </c>
      <c r="P564" s="9" t="s">
        <v>36</v>
      </c>
      <c r="Q564" s="7" t="s">
        <v>38</v>
      </c>
      <c r="R564" s="7" t="s">
        <v>38</v>
      </c>
      <c r="S564" s="10" t="s">
        <v>1826</v>
      </c>
      <c r="T564" s="7"/>
      <c r="U564" s="7"/>
      <c r="V564" s="7"/>
      <c r="W564" s="7"/>
      <c r="X564" s="7">
        <v>3</v>
      </c>
      <c r="Y564" s="7"/>
      <c r="Z564" s="7"/>
      <c r="AA564" s="7"/>
      <c r="AB564" s="7">
        <f t="shared" si="42"/>
        <v>1</v>
      </c>
      <c r="AC564" s="7">
        <f t="shared" si="39"/>
        <v>1</v>
      </c>
      <c r="AD564" s="7"/>
      <c r="AE564" s="7"/>
      <c r="AF564" s="7"/>
      <c r="AG564" s="7"/>
      <c r="AH564" s="7"/>
      <c r="AI564" s="7"/>
      <c r="AJ564" s="7"/>
      <c r="AK564" s="7"/>
      <c r="AL564" s="9"/>
      <c r="AM564" s="7" t="s">
        <v>71</v>
      </c>
      <c r="AN564" s="7" t="s">
        <v>71</v>
      </c>
      <c r="AO564" s="12"/>
    </row>
    <row r="565" spans="1:41" s="11" customFormat="1" x14ac:dyDescent="0.25">
      <c r="A565" s="2">
        <v>564</v>
      </c>
      <c r="B565" s="7" t="s">
        <v>471</v>
      </c>
      <c r="C565" s="7" t="s">
        <v>100</v>
      </c>
      <c r="D565" s="7">
        <v>6</v>
      </c>
      <c r="E565" s="7">
        <v>6</v>
      </c>
      <c r="F565" s="8">
        <v>1</v>
      </c>
      <c r="G565" s="8">
        <v>1</v>
      </c>
      <c r="H565" s="7">
        <v>1</v>
      </c>
      <c r="I565" s="7">
        <v>1</v>
      </c>
      <c r="J565" s="9" t="s">
        <v>219</v>
      </c>
      <c r="K565" s="7">
        <v>13</v>
      </c>
      <c r="L565" s="7" t="s">
        <v>52</v>
      </c>
      <c r="M565" s="7">
        <f t="shared" si="38"/>
        <v>1</v>
      </c>
      <c r="N565" s="9" t="s">
        <v>34</v>
      </c>
      <c r="O565" s="7">
        <v>0</v>
      </c>
      <c r="P565" s="9" t="s">
        <v>36</v>
      </c>
      <c r="Q565" s="7" t="s">
        <v>38</v>
      </c>
      <c r="R565" s="7" t="s">
        <v>38</v>
      </c>
      <c r="S565" s="13" t="s">
        <v>1827</v>
      </c>
      <c r="T565" s="7"/>
      <c r="U565" s="7"/>
      <c r="V565" s="7"/>
      <c r="W565" s="7"/>
      <c r="X565" s="7">
        <v>3</v>
      </c>
      <c r="Y565" s="7"/>
      <c r="Z565" s="7"/>
      <c r="AA565" s="7"/>
      <c r="AB565" s="7">
        <f t="shared" si="42"/>
        <v>1</v>
      </c>
      <c r="AC565" s="7">
        <f t="shared" si="39"/>
        <v>1</v>
      </c>
      <c r="AD565" s="7"/>
      <c r="AE565" s="7"/>
      <c r="AF565" s="7"/>
      <c r="AG565" s="7"/>
      <c r="AH565" s="7"/>
      <c r="AI565" s="7"/>
      <c r="AJ565" s="7"/>
      <c r="AK565" s="7"/>
      <c r="AL565" s="9"/>
      <c r="AM565" s="7" t="s">
        <v>71</v>
      </c>
      <c r="AN565" s="7" t="s">
        <v>71</v>
      </c>
      <c r="AO565" s="12"/>
    </row>
    <row r="566" spans="1:41" s="11" customFormat="1" x14ac:dyDescent="0.25">
      <c r="A566" s="2">
        <v>565</v>
      </c>
      <c r="B566" s="7" t="s">
        <v>489</v>
      </c>
      <c r="C566" s="7" t="s">
        <v>237</v>
      </c>
      <c r="D566" s="7">
        <v>36</v>
      </c>
      <c r="E566" s="7">
        <v>36</v>
      </c>
      <c r="F566" s="8">
        <v>1</v>
      </c>
      <c r="G566" s="8">
        <v>1</v>
      </c>
      <c r="H566" s="7">
        <v>1</v>
      </c>
      <c r="I566" s="7">
        <v>1</v>
      </c>
      <c r="J566" s="9" t="s">
        <v>77</v>
      </c>
      <c r="K566" s="7">
        <v>1</v>
      </c>
      <c r="L566" s="7" t="s">
        <v>52</v>
      </c>
      <c r="M566" s="7">
        <f t="shared" si="38"/>
        <v>1</v>
      </c>
      <c r="N566" s="9" t="s">
        <v>34</v>
      </c>
      <c r="O566" s="7">
        <v>0</v>
      </c>
      <c r="P566" s="9" t="s">
        <v>37</v>
      </c>
      <c r="Q566" s="7" t="s">
        <v>38</v>
      </c>
      <c r="R566" s="7" t="s">
        <v>38</v>
      </c>
      <c r="S566" s="7"/>
      <c r="T566" s="7">
        <v>7</v>
      </c>
      <c r="U566" s="7">
        <v>7</v>
      </c>
      <c r="V566" s="7">
        <v>120</v>
      </c>
      <c r="W566" s="7" t="s">
        <v>79</v>
      </c>
      <c r="X566" s="7">
        <v>20</v>
      </c>
      <c r="Y566" s="7"/>
      <c r="Z566" s="7"/>
      <c r="AA566" s="7"/>
      <c r="AB566" s="7">
        <f t="shared" si="42"/>
        <v>9</v>
      </c>
      <c r="AC566" s="7">
        <f t="shared" si="39"/>
        <v>9</v>
      </c>
      <c r="AD566" s="7"/>
      <c r="AE566" s="7">
        <v>1</v>
      </c>
      <c r="AF566" s="7" t="s">
        <v>40</v>
      </c>
      <c r="AG566" s="7" t="s">
        <v>490</v>
      </c>
      <c r="AH566" s="7"/>
      <c r="AI566" s="7"/>
      <c r="AJ566" s="7"/>
      <c r="AK566" s="7"/>
      <c r="AL566" s="9"/>
      <c r="AM566" s="7" t="s">
        <v>42</v>
      </c>
      <c r="AN566" s="7" t="s">
        <v>42</v>
      </c>
      <c r="AO566" s="12" t="s">
        <v>491</v>
      </c>
    </row>
    <row r="567" spans="1:41" s="11" customFormat="1" x14ac:dyDescent="0.25">
      <c r="A567" s="2">
        <v>566</v>
      </c>
      <c r="B567" s="7" t="s">
        <v>489</v>
      </c>
      <c r="C567" s="7" t="s">
        <v>78</v>
      </c>
      <c r="D567" s="7">
        <v>12</v>
      </c>
      <c r="E567" s="7">
        <v>12</v>
      </c>
      <c r="F567" s="8">
        <v>1</v>
      </c>
      <c r="G567" s="8">
        <v>1</v>
      </c>
      <c r="H567" s="7">
        <v>1</v>
      </c>
      <c r="I567" s="7">
        <v>1</v>
      </c>
      <c r="J567" s="9" t="s">
        <v>35</v>
      </c>
      <c r="K567" s="7">
        <v>1</v>
      </c>
      <c r="L567" s="7" t="s">
        <v>52</v>
      </c>
      <c r="M567" s="7">
        <f t="shared" si="38"/>
        <v>1</v>
      </c>
      <c r="N567" s="9" t="s">
        <v>82</v>
      </c>
      <c r="O567" s="7">
        <v>0</v>
      </c>
      <c r="P567" s="9" t="s">
        <v>33</v>
      </c>
      <c r="Q567" s="7" t="s">
        <v>38</v>
      </c>
      <c r="R567" s="7" t="s">
        <v>38</v>
      </c>
      <c r="S567" s="10" t="s">
        <v>1828</v>
      </c>
      <c r="T567" s="7">
        <v>20</v>
      </c>
      <c r="U567" s="7">
        <v>20</v>
      </c>
      <c r="V567" s="7" t="s">
        <v>255</v>
      </c>
      <c r="W567" s="7" t="s">
        <v>88</v>
      </c>
      <c r="X567" s="7"/>
      <c r="Y567" s="7"/>
      <c r="Z567" s="7"/>
      <c r="AA567" s="7"/>
      <c r="AB567" s="7">
        <f t="shared" si="42"/>
        <v>6.666666666666667</v>
      </c>
      <c r="AC567" s="7">
        <f t="shared" si="39"/>
        <v>6.666666666666667</v>
      </c>
      <c r="AD567" s="7"/>
      <c r="AE567" s="7">
        <v>1</v>
      </c>
      <c r="AF567" s="7" t="s">
        <v>40</v>
      </c>
      <c r="AG567" s="7" t="s">
        <v>492</v>
      </c>
      <c r="AH567" s="7"/>
      <c r="AI567" s="7"/>
      <c r="AJ567" s="7"/>
      <c r="AK567" s="7"/>
      <c r="AL567" s="9"/>
      <c r="AM567" s="7" t="s">
        <v>493</v>
      </c>
      <c r="AN567" s="7" t="s">
        <v>42</v>
      </c>
      <c r="AO567" s="12"/>
    </row>
    <row r="568" spans="1:41" s="11" customFormat="1" x14ac:dyDescent="0.25">
      <c r="A568" s="2">
        <v>567</v>
      </c>
      <c r="B568" s="7" t="s">
        <v>489</v>
      </c>
      <c r="C568" s="7" t="s">
        <v>78</v>
      </c>
      <c r="D568" s="7">
        <v>6</v>
      </c>
      <c r="E568" s="7">
        <v>6</v>
      </c>
      <c r="F568" s="8">
        <v>1</v>
      </c>
      <c r="G568" s="8">
        <v>1</v>
      </c>
      <c r="H568" s="7">
        <v>1</v>
      </c>
      <c r="I568" s="7">
        <v>1</v>
      </c>
      <c r="J568" s="9" t="s">
        <v>35</v>
      </c>
      <c r="K568" s="7">
        <v>2</v>
      </c>
      <c r="L568" s="7" t="s">
        <v>52</v>
      </c>
      <c r="M568" s="7">
        <f t="shared" si="38"/>
        <v>1</v>
      </c>
      <c r="N568" s="9" t="s">
        <v>34</v>
      </c>
      <c r="O568" s="7">
        <v>0</v>
      </c>
      <c r="P568" s="9" t="s">
        <v>33</v>
      </c>
      <c r="Q568" s="7" t="s">
        <v>38</v>
      </c>
      <c r="R568" s="7" t="s">
        <v>38</v>
      </c>
      <c r="S568" s="10" t="s">
        <v>1589</v>
      </c>
      <c r="T568" s="7">
        <v>15</v>
      </c>
      <c r="U568" s="7">
        <v>15</v>
      </c>
      <c r="V568" s="7">
        <v>100</v>
      </c>
      <c r="W568" s="7" t="s">
        <v>88</v>
      </c>
      <c r="X568" s="7"/>
      <c r="Y568" s="7"/>
      <c r="Z568" s="7"/>
      <c r="AA568" s="7"/>
      <c r="AB568" s="7">
        <f t="shared" si="42"/>
        <v>5</v>
      </c>
      <c r="AC568" s="7">
        <f t="shared" si="39"/>
        <v>5</v>
      </c>
      <c r="AD568" s="7"/>
      <c r="AE568" s="7"/>
      <c r="AF568" s="7"/>
      <c r="AG568" s="7"/>
      <c r="AH568" s="7"/>
      <c r="AI568" s="7"/>
      <c r="AJ568" s="7"/>
      <c r="AK568" s="10" t="s">
        <v>2444</v>
      </c>
      <c r="AL568" s="9"/>
      <c r="AM568" s="7" t="s">
        <v>42</v>
      </c>
      <c r="AN568" s="7" t="s">
        <v>42</v>
      </c>
      <c r="AO568" s="12"/>
    </row>
    <row r="569" spans="1:41" s="11" customFormat="1" x14ac:dyDescent="0.25">
      <c r="A569" s="2">
        <v>568</v>
      </c>
      <c r="B569" s="7" t="s">
        <v>489</v>
      </c>
      <c r="C569" s="7" t="s">
        <v>50</v>
      </c>
      <c r="D569" s="7">
        <v>29</v>
      </c>
      <c r="E569" s="7">
        <v>29</v>
      </c>
      <c r="F569" s="8">
        <v>1</v>
      </c>
      <c r="G569" s="8">
        <v>1</v>
      </c>
      <c r="H569" s="7">
        <v>1</v>
      </c>
      <c r="I569" s="7">
        <v>1</v>
      </c>
      <c r="J569" s="9" t="s">
        <v>70</v>
      </c>
      <c r="K569" s="7">
        <v>2</v>
      </c>
      <c r="L569" s="7" t="s">
        <v>52</v>
      </c>
      <c r="M569" s="7">
        <f t="shared" si="38"/>
        <v>1</v>
      </c>
      <c r="N569" s="9" t="s">
        <v>36</v>
      </c>
      <c r="O569" s="7">
        <v>0</v>
      </c>
      <c r="P569" s="9" t="s">
        <v>33</v>
      </c>
      <c r="Q569" s="7" t="s">
        <v>52</v>
      </c>
      <c r="R569" s="7" t="s">
        <v>38</v>
      </c>
      <c r="S569" s="10" t="s">
        <v>1829</v>
      </c>
      <c r="T569" s="7"/>
      <c r="U569" s="7"/>
      <c r="V569" s="7"/>
      <c r="W569" s="7"/>
      <c r="X569" s="7"/>
      <c r="Y569" s="7">
        <v>35</v>
      </c>
      <c r="Z569" s="7">
        <v>35</v>
      </c>
      <c r="AA569" s="7">
        <v>75</v>
      </c>
      <c r="AB569" s="7">
        <f t="shared" si="42"/>
        <v>11.666666666666666</v>
      </c>
      <c r="AC569" s="7">
        <f t="shared" si="39"/>
        <v>11.666666666666666</v>
      </c>
      <c r="AD569" s="7"/>
      <c r="AE569" s="7"/>
      <c r="AF569" s="7"/>
      <c r="AG569" s="7"/>
      <c r="AH569" s="7"/>
      <c r="AI569" s="7"/>
      <c r="AJ569" s="7"/>
      <c r="AK569" s="7"/>
      <c r="AL569" s="9"/>
      <c r="AM569" s="7" t="s">
        <v>71</v>
      </c>
      <c r="AN569" s="7" t="s">
        <v>71</v>
      </c>
      <c r="AO569" s="7"/>
    </row>
    <row r="570" spans="1:41" s="11" customFormat="1" x14ac:dyDescent="0.25">
      <c r="A570" s="2">
        <v>569</v>
      </c>
      <c r="B570" s="7" t="s">
        <v>489</v>
      </c>
      <c r="C570" s="7" t="s">
        <v>50</v>
      </c>
      <c r="D570" s="7">
        <v>52</v>
      </c>
      <c r="E570" s="7">
        <v>52</v>
      </c>
      <c r="F570" s="8">
        <v>1</v>
      </c>
      <c r="G570" s="8">
        <v>1</v>
      </c>
      <c r="H570" s="7">
        <v>1</v>
      </c>
      <c r="I570" s="7">
        <v>1</v>
      </c>
      <c r="J570" s="9" t="s">
        <v>77</v>
      </c>
      <c r="K570" s="7">
        <v>1</v>
      </c>
      <c r="L570" s="7" t="s">
        <v>52</v>
      </c>
      <c r="M570" s="7">
        <f t="shared" si="38"/>
        <v>1</v>
      </c>
      <c r="N570" s="9" t="s">
        <v>34</v>
      </c>
      <c r="O570" s="7">
        <v>0</v>
      </c>
      <c r="P570" s="9" t="s">
        <v>33</v>
      </c>
      <c r="Q570" s="7" t="s">
        <v>38</v>
      </c>
      <c r="R570" s="7" t="s">
        <v>38</v>
      </c>
      <c r="S570" s="10" t="s">
        <v>1830</v>
      </c>
      <c r="T570" s="7"/>
      <c r="U570" s="7"/>
      <c r="V570" s="7"/>
      <c r="W570" s="7"/>
      <c r="X570" s="7"/>
      <c r="Y570" s="7">
        <v>50</v>
      </c>
      <c r="Z570" s="7">
        <v>50</v>
      </c>
      <c r="AA570" s="7">
        <v>65</v>
      </c>
      <c r="AB570" s="7">
        <f t="shared" si="42"/>
        <v>16.666666666666668</v>
      </c>
      <c r="AC570" s="7">
        <f t="shared" si="39"/>
        <v>16.666666666666668</v>
      </c>
      <c r="AD570" s="7"/>
      <c r="AE570" s="7">
        <v>1</v>
      </c>
      <c r="AF570" s="7"/>
      <c r="AG570" s="7" t="s">
        <v>494</v>
      </c>
      <c r="AH570" s="7"/>
      <c r="AI570" s="7"/>
      <c r="AJ570" s="7"/>
      <c r="AK570" s="7"/>
      <c r="AL570" s="9"/>
      <c r="AM570" s="7" t="s">
        <v>42</v>
      </c>
      <c r="AN570" s="7" t="s">
        <v>42</v>
      </c>
      <c r="AO570" s="12"/>
    </row>
    <row r="571" spans="1:41" s="11" customFormat="1" x14ac:dyDescent="0.25">
      <c r="A571" s="2">
        <v>570</v>
      </c>
      <c r="B571" s="7" t="s">
        <v>489</v>
      </c>
      <c r="C571" s="7" t="s">
        <v>50</v>
      </c>
      <c r="D571" s="7">
        <v>106</v>
      </c>
      <c r="E571" s="7">
        <v>106</v>
      </c>
      <c r="F571" s="8">
        <v>1</v>
      </c>
      <c r="G571" s="8">
        <v>1</v>
      </c>
      <c r="H571" s="7">
        <v>1</v>
      </c>
      <c r="I571" s="7">
        <v>1</v>
      </c>
      <c r="J571" s="9" t="s">
        <v>433</v>
      </c>
      <c r="K571" s="7">
        <v>1</v>
      </c>
      <c r="L571" s="7" t="s">
        <v>52</v>
      </c>
      <c r="M571" s="7">
        <f t="shared" si="38"/>
        <v>1</v>
      </c>
      <c r="N571" s="9" t="s">
        <v>36</v>
      </c>
      <c r="O571" s="7">
        <v>0</v>
      </c>
      <c r="P571" s="9" t="s">
        <v>33</v>
      </c>
      <c r="Q571" s="7" t="s">
        <v>38</v>
      </c>
      <c r="R571" s="7" t="s">
        <v>38</v>
      </c>
      <c r="S571" s="10" t="s">
        <v>1831</v>
      </c>
      <c r="T571" s="7"/>
      <c r="U571" s="7"/>
      <c r="V571" s="7"/>
      <c r="W571" s="7"/>
      <c r="X571" s="7"/>
      <c r="Y571" s="7">
        <v>35</v>
      </c>
      <c r="Z571" s="7">
        <v>35</v>
      </c>
      <c r="AA571" s="7">
        <v>95</v>
      </c>
      <c r="AB571" s="7">
        <f t="shared" si="42"/>
        <v>11.666666666666666</v>
      </c>
      <c r="AC571" s="7">
        <f t="shared" si="39"/>
        <v>11.666666666666666</v>
      </c>
      <c r="AD571" s="7"/>
      <c r="AE571" s="7"/>
      <c r="AF571" s="7"/>
      <c r="AG571" s="7"/>
      <c r="AH571" s="7"/>
      <c r="AI571" s="7"/>
      <c r="AJ571" s="7"/>
      <c r="AK571" s="7"/>
      <c r="AL571" s="9"/>
      <c r="AM571" s="7" t="s">
        <v>495</v>
      </c>
      <c r="AN571" s="7" t="s">
        <v>2849</v>
      </c>
      <c r="AO571" s="15" t="s">
        <v>2548</v>
      </c>
    </row>
    <row r="572" spans="1:41" s="11" customFormat="1" x14ac:dyDescent="0.25">
      <c r="A572" s="2">
        <v>571</v>
      </c>
      <c r="B572" s="7" t="s">
        <v>489</v>
      </c>
      <c r="C572" s="7" t="s">
        <v>50</v>
      </c>
      <c r="D572" s="7">
        <v>152</v>
      </c>
      <c r="E572" s="7">
        <v>152</v>
      </c>
      <c r="F572" s="8">
        <v>1</v>
      </c>
      <c r="G572" s="8">
        <v>1</v>
      </c>
      <c r="H572" s="7">
        <v>1</v>
      </c>
      <c r="I572" s="7">
        <v>1</v>
      </c>
      <c r="J572" s="9" t="s">
        <v>219</v>
      </c>
      <c r="K572" s="7">
        <v>13</v>
      </c>
      <c r="L572" s="7" t="s">
        <v>52</v>
      </c>
      <c r="M572" s="7">
        <f t="shared" si="38"/>
        <v>1</v>
      </c>
      <c r="N572" s="9" t="s">
        <v>34</v>
      </c>
      <c r="O572" s="7">
        <v>0</v>
      </c>
      <c r="P572" s="9" t="s">
        <v>33</v>
      </c>
      <c r="Q572" s="7" t="s">
        <v>38</v>
      </c>
      <c r="R572" s="7" t="s">
        <v>38</v>
      </c>
      <c r="S572" s="10" t="s">
        <v>1832</v>
      </c>
      <c r="T572" s="7"/>
      <c r="U572" s="7"/>
      <c r="V572" s="7"/>
      <c r="W572" s="7"/>
      <c r="X572" s="7"/>
      <c r="Y572" s="7">
        <v>25</v>
      </c>
      <c r="Z572" s="7">
        <v>25</v>
      </c>
      <c r="AA572" s="7">
        <v>175</v>
      </c>
      <c r="AB572" s="7">
        <f t="shared" si="42"/>
        <v>8.3333333333333339</v>
      </c>
      <c r="AC572" s="7">
        <f t="shared" si="39"/>
        <v>8.3333333333333339</v>
      </c>
      <c r="AD572" s="7"/>
      <c r="AE572" s="7"/>
      <c r="AF572" s="7"/>
      <c r="AG572" s="7"/>
      <c r="AH572" s="7"/>
      <c r="AI572" s="7"/>
      <c r="AJ572" s="7"/>
      <c r="AK572" s="7"/>
      <c r="AL572" s="9"/>
      <c r="AM572" s="7" t="s">
        <v>71</v>
      </c>
      <c r="AN572" s="7" t="s">
        <v>71</v>
      </c>
      <c r="AO572" s="12"/>
    </row>
    <row r="573" spans="1:41" s="11" customFormat="1" ht="24" x14ac:dyDescent="0.25">
      <c r="A573" s="2">
        <v>572</v>
      </c>
      <c r="B573" s="7" t="s">
        <v>489</v>
      </c>
      <c r="C573" s="7" t="s">
        <v>237</v>
      </c>
      <c r="D573" s="7" t="s">
        <v>496</v>
      </c>
      <c r="E573" s="7">
        <f>40+18+14+3</f>
        <v>75</v>
      </c>
      <c r="F573" s="8">
        <v>1</v>
      </c>
      <c r="G573" s="8">
        <v>7</v>
      </c>
      <c r="H573" s="7">
        <v>7</v>
      </c>
      <c r="I573" s="7">
        <v>7</v>
      </c>
      <c r="J573" s="9" t="s">
        <v>35</v>
      </c>
      <c r="K573" s="7">
        <v>2</v>
      </c>
      <c r="L573" s="7" t="s">
        <v>52</v>
      </c>
      <c r="M573" s="7">
        <f t="shared" si="38"/>
        <v>1</v>
      </c>
      <c r="N573" s="9" t="s">
        <v>34</v>
      </c>
      <c r="O573" s="7">
        <v>1</v>
      </c>
      <c r="P573" s="9" t="s">
        <v>33</v>
      </c>
      <c r="Q573" s="7" t="s">
        <v>38</v>
      </c>
      <c r="R573" s="7" t="s">
        <v>38</v>
      </c>
      <c r="S573" s="10" t="s">
        <v>1833</v>
      </c>
      <c r="T573" s="7">
        <v>30</v>
      </c>
      <c r="U573" s="7">
        <v>30</v>
      </c>
      <c r="V573" s="7">
        <v>115</v>
      </c>
      <c r="W573" s="7" t="s">
        <v>239</v>
      </c>
      <c r="X573" s="7">
        <v>5</v>
      </c>
      <c r="Y573" s="7"/>
      <c r="Z573" s="7"/>
      <c r="AA573" s="7"/>
      <c r="AB573" s="7">
        <f t="shared" si="42"/>
        <v>11.666666666666666</v>
      </c>
      <c r="AC573" s="7">
        <f t="shared" si="39"/>
        <v>11.666666666666666</v>
      </c>
      <c r="AD573" s="7"/>
      <c r="AE573" s="7"/>
      <c r="AF573" s="7"/>
      <c r="AG573" s="7"/>
      <c r="AH573" s="7"/>
      <c r="AI573" s="7"/>
      <c r="AJ573" s="7"/>
      <c r="AK573" s="10" t="s">
        <v>2435</v>
      </c>
      <c r="AL573" s="9"/>
      <c r="AM573" s="7" t="s">
        <v>111</v>
      </c>
      <c r="AN573" s="7" t="s">
        <v>2848</v>
      </c>
      <c r="AO573" s="12"/>
    </row>
    <row r="574" spans="1:41" s="11" customFormat="1" x14ac:dyDescent="0.25">
      <c r="A574" s="2">
        <v>573</v>
      </c>
      <c r="B574" s="7" t="s">
        <v>489</v>
      </c>
      <c r="C574" s="7" t="s">
        <v>78</v>
      </c>
      <c r="D574" s="7">
        <v>1</v>
      </c>
      <c r="E574" s="7">
        <v>1</v>
      </c>
      <c r="F574" s="8">
        <v>1</v>
      </c>
      <c r="G574" s="8">
        <v>1</v>
      </c>
      <c r="H574" s="7">
        <v>1</v>
      </c>
      <c r="I574" s="7">
        <v>1</v>
      </c>
      <c r="J574" s="9" t="s">
        <v>35</v>
      </c>
      <c r="K574" s="7">
        <v>2</v>
      </c>
      <c r="L574" s="7" t="s">
        <v>52</v>
      </c>
      <c r="M574" s="7">
        <f t="shared" si="38"/>
        <v>1</v>
      </c>
      <c r="N574" s="9" t="s">
        <v>34</v>
      </c>
      <c r="O574" s="7">
        <v>1</v>
      </c>
      <c r="P574" s="9" t="s">
        <v>33</v>
      </c>
      <c r="Q574" s="7" t="s">
        <v>38</v>
      </c>
      <c r="R574" s="7" t="s">
        <v>38</v>
      </c>
      <c r="S574" s="7"/>
      <c r="T574" s="7">
        <v>5</v>
      </c>
      <c r="U574" s="7">
        <v>5</v>
      </c>
      <c r="V574" s="7">
        <v>100</v>
      </c>
      <c r="W574" s="7" t="s">
        <v>88</v>
      </c>
      <c r="X574" s="7"/>
      <c r="Y574" s="7"/>
      <c r="Z574" s="7"/>
      <c r="AA574" s="7"/>
      <c r="AB574" s="7">
        <f t="shared" si="42"/>
        <v>1.6666666666666667</v>
      </c>
      <c r="AC574" s="7">
        <f t="shared" si="39"/>
        <v>1.6666666666666667</v>
      </c>
      <c r="AD574" s="7"/>
      <c r="AE574" s="7"/>
      <c r="AF574" s="7"/>
      <c r="AG574" s="7"/>
      <c r="AH574" s="7"/>
      <c r="AI574" s="7"/>
      <c r="AJ574" s="7"/>
      <c r="AK574" s="7"/>
      <c r="AL574" s="9"/>
      <c r="AM574" s="7" t="s">
        <v>42</v>
      </c>
      <c r="AN574" s="7" t="s">
        <v>42</v>
      </c>
      <c r="AO574" s="12"/>
    </row>
    <row r="575" spans="1:41" s="11" customFormat="1" ht="24" x14ac:dyDescent="0.25">
      <c r="A575" s="2">
        <v>574</v>
      </c>
      <c r="B575" s="7" t="s">
        <v>489</v>
      </c>
      <c r="C575" s="7" t="s">
        <v>100</v>
      </c>
      <c r="D575" s="7">
        <v>6</v>
      </c>
      <c r="E575" s="7">
        <v>6</v>
      </c>
      <c r="F575" s="8">
        <v>1</v>
      </c>
      <c r="G575" s="8">
        <v>1</v>
      </c>
      <c r="H575" s="7">
        <v>1</v>
      </c>
      <c r="I575" s="7">
        <v>1</v>
      </c>
      <c r="J575" s="9" t="s">
        <v>70</v>
      </c>
      <c r="K575" s="7">
        <v>1</v>
      </c>
      <c r="L575" s="7" t="s">
        <v>52</v>
      </c>
      <c r="M575" s="7">
        <f t="shared" si="38"/>
        <v>1</v>
      </c>
      <c r="N575" s="9" t="s">
        <v>34</v>
      </c>
      <c r="O575" s="7">
        <v>0</v>
      </c>
      <c r="P575" s="9" t="s">
        <v>63</v>
      </c>
      <c r="Q575" s="7" t="s">
        <v>38</v>
      </c>
      <c r="R575" s="7" t="s">
        <v>38</v>
      </c>
      <c r="S575" s="7"/>
      <c r="T575" s="7"/>
      <c r="U575" s="7"/>
      <c r="V575" s="7"/>
      <c r="W575" s="7"/>
      <c r="X575" s="7">
        <v>3</v>
      </c>
      <c r="Y575" s="7"/>
      <c r="Z575" s="7"/>
      <c r="AA575" s="7"/>
      <c r="AB575" s="7">
        <f t="shared" si="42"/>
        <v>1</v>
      </c>
      <c r="AC575" s="7">
        <f t="shared" si="39"/>
        <v>1</v>
      </c>
      <c r="AD575" s="7"/>
      <c r="AE575" s="7">
        <v>1</v>
      </c>
      <c r="AF575" s="7" t="s">
        <v>40</v>
      </c>
      <c r="AG575" s="7" t="s">
        <v>497</v>
      </c>
      <c r="AH575" s="7"/>
      <c r="AI575" s="7"/>
      <c r="AJ575" s="7"/>
      <c r="AK575" s="7"/>
      <c r="AL575" s="9"/>
      <c r="AM575" s="7" t="s">
        <v>42</v>
      </c>
      <c r="AN575" s="7" t="s">
        <v>42</v>
      </c>
      <c r="AO575" s="12"/>
    </row>
    <row r="576" spans="1:41" s="11" customFormat="1" x14ac:dyDescent="0.25">
      <c r="A576" s="2">
        <v>575</v>
      </c>
      <c r="B576" s="7" t="s">
        <v>489</v>
      </c>
      <c r="C576" s="7" t="s">
        <v>89</v>
      </c>
      <c r="D576" s="7" t="s">
        <v>498</v>
      </c>
      <c r="E576" s="7">
        <v>39</v>
      </c>
      <c r="F576" s="8">
        <v>2</v>
      </c>
      <c r="G576" s="8">
        <v>2</v>
      </c>
      <c r="H576" s="7" t="s">
        <v>87</v>
      </c>
      <c r="I576" s="7">
        <v>2</v>
      </c>
      <c r="J576" s="9" t="s">
        <v>70</v>
      </c>
      <c r="K576" s="7">
        <v>1</v>
      </c>
      <c r="L576" s="7" t="s">
        <v>52</v>
      </c>
      <c r="M576" s="7">
        <f t="shared" si="38"/>
        <v>2</v>
      </c>
      <c r="N576" s="9" t="s">
        <v>82</v>
      </c>
      <c r="O576" s="7">
        <v>0</v>
      </c>
      <c r="P576" s="9" t="s">
        <v>34</v>
      </c>
      <c r="Q576" s="7" t="s">
        <v>38</v>
      </c>
      <c r="R576" s="7" t="s">
        <v>38</v>
      </c>
      <c r="S576" s="10" t="s">
        <v>1834</v>
      </c>
      <c r="T576" s="7"/>
      <c r="U576" s="7"/>
      <c r="V576" s="7"/>
      <c r="W576" s="7"/>
      <c r="X576" s="7">
        <v>3</v>
      </c>
      <c r="Y576" s="7"/>
      <c r="Z576" s="7"/>
      <c r="AA576" s="7"/>
      <c r="AB576" s="7">
        <f t="shared" si="42"/>
        <v>1</v>
      </c>
      <c r="AC576" s="7">
        <f t="shared" si="39"/>
        <v>1</v>
      </c>
      <c r="AD576" s="7"/>
      <c r="AE576" s="7"/>
      <c r="AF576" s="7"/>
      <c r="AG576" s="7"/>
      <c r="AH576" s="7"/>
      <c r="AI576" s="7"/>
      <c r="AJ576" s="7"/>
      <c r="AK576" s="7"/>
      <c r="AL576" s="9"/>
      <c r="AM576" s="7" t="s">
        <v>71</v>
      </c>
      <c r="AN576" s="7" t="s">
        <v>71</v>
      </c>
      <c r="AO576" s="12"/>
    </row>
    <row r="577" spans="1:41" s="11" customFormat="1" x14ac:dyDescent="0.25">
      <c r="A577" s="2">
        <v>576</v>
      </c>
      <c r="B577" s="7" t="s">
        <v>489</v>
      </c>
      <c r="C577" s="7" t="s">
        <v>50</v>
      </c>
      <c r="D577" s="7">
        <v>8</v>
      </c>
      <c r="E577" s="7">
        <v>8</v>
      </c>
      <c r="F577" s="8">
        <v>1</v>
      </c>
      <c r="G577" s="8">
        <v>1</v>
      </c>
      <c r="H577" s="7">
        <v>1</v>
      </c>
      <c r="I577" s="7">
        <v>1</v>
      </c>
      <c r="J577" s="9" t="s">
        <v>70</v>
      </c>
      <c r="K577" s="7">
        <v>1</v>
      </c>
      <c r="L577" s="7" t="s">
        <v>52</v>
      </c>
      <c r="M577" s="7">
        <f t="shared" si="38"/>
        <v>1</v>
      </c>
      <c r="N577" s="9" t="s">
        <v>82</v>
      </c>
      <c r="O577" s="7">
        <v>0</v>
      </c>
      <c r="P577" s="9" t="s">
        <v>36</v>
      </c>
      <c r="Q577" s="7" t="s">
        <v>38</v>
      </c>
      <c r="R577" s="7" t="s">
        <v>52</v>
      </c>
      <c r="S577" s="7"/>
      <c r="T577" s="7"/>
      <c r="U577" s="7"/>
      <c r="V577" s="7"/>
      <c r="W577" s="7"/>
      <c r="X577" s="7"/>
      <c r="Y577" s="7">
        <v>10</v>
      </c>
      <c r="Z577" s="7">
        <v>10</v>
      </c>
      <c r="AA577" s="7" t="s">
        <v>76</v>
      </c>
      <c r="AB577" s="7">
        <f t="shared" si="42"/>
        <v>3.3333333333333335</v>
      </c>
      <c r="AC577" s="7">
        <f t="shared" si="39"/>
        <v>3.3333333333333335</v>
      </c>
      <c r="AD577" s="7"/>
      <c r="AE577" s="7"/>
      <c r="AF577" s="7"/>
      <c r="AG577" s="7"/>
      <c r="AH577" s="7"/>
      <c r="AI577" s="7"/>
      <c r="AJ577" s="7"/>
      <c r="AK577" s="7"/>
      <c r="AL577" s="9"/>
      <c r="AM577" s="7" t="s">
        <v>71</v>
      </c>
      <c r="AN577" s="7" t="s">
        <v>71</v>
      </c>
      <c r="AO577" s="12"/>
    </row>
    <row r="578" spans="1:41" s="11" customFormat="1" x14ac:dyDescent="0.25">
      <c r="A578" s="2">
        <v>577</v>
      </c>
      <c r="B578" s="7" t="s">
        <v>489</v>
      </c>
      <c r="C578" s="7" t="s">
        <v>89</v>
      </c>
      <c r="D578" s="7" t="s">
        <v>499</v>
      </c>
      <c r="E578" s="7">
        <v>6</v>
      </c>
      <c r="F578" s="8">
        <v>3</v>
      </c>
      <c r="G578" s="8">
        <v>5</v>
      </c>
      <c r="H578" s="7" t="s">
        <v>345</v>
      </c>
      <c r="I578" s="7">
        <v>5</v>
      </c>
      <c r="J578" s="9" t="s">
        <v>35</v>
      </c>
      <c r="K578" s="7">
        <v>1</v>
      </c>
      <c r="L578" s="7" t="s">
        <v>52</v>
      </c>
      <c r="M578" s="7">
        <f t="shared" ref="M578:M641" si="43">IF(L578="n",F578,0)</f>
        <v>3</v>
      </c>
      <c r="N578" s="9" t="s">
        <v>34</v>
      </c>
      <c r="O578" s="7">
        <v>0</v>
      </c>
      <c r="P578" s="9" t="s">
        <v>63</v>
      </c>
      <c r="Q578" s="7" t="s">
        <v>38</v>
      </c>
      <c r="R578" s="7" t="s">
        <v>38</v>
      </c>
      <c r="S578" s="7"/>
      <c r="T578" s="7"/>
      <c r="U578" s="7"/>
      <c r="V578" s="7"/>
      <c r="W578" s="7"/>
      <c r="X578" s="7">
        <v>3</v>
      </c>
      <c r="Y578" s="7"/>
      <c r="Z578" s="7"/>
      <c r="AA578" s="7"/>
      <c r="AB578" s="7">
        <f t="shared" si="42"/>
        <v>1</v>
      </c>
      <c r="AC578" s="7">
        <f t="shared" ref="AC578:AC641" si="44">IF(L578="n",AB578,0)</f>
        <v>1</v>
      </c>
      <c r="AD578" s="7"/>
      <c r="AE578" s="7"/>
      <c r="AF578" s="7"/>
      <c r="AG578" s="7"/>
      <c r="AH578" s="7"/>
      <c r="AI578" s="7"/>
      <c r="AJ578" s="7"/>
      <c r="AK578" s="7"/>
      <c r="AL578" s="9"/>
      <c r="AM578" s="7" t="s">
        <v>71</v>
      </c>
      <c r="AN578" s="7" t="s">
        <v>71</v>
      </c>
      <c r="AO578" s="12"/>
    </row>
    <row r="579" spans="1:41" s="11" customFormat="1" x14ac:dyDescent="0.25">
      <c r="A579" s="2">
        <v>578</v>
      </c>
      <c r="B579" s="7" t="s">
        <v>489</v>
      </c>
      <c r="C579" s="7" t="s">
        <v>100</v>
      </c>
      <c r="D579" s="7">
        <v>4</v>
      </c>
      <c r="E579" s="7">
        <v>4</v>
      </c>
      <c r="F579" s="8">
        <v>1</v>
      </c>
      <c r="G579" s="8">
        <v>1</v>
      </c>
      <c r="H579" s="7">
        <v>1</v>
      </c>
      <c r="I579" s="7">
        <v>1</v>
      </c>
      <c r="J579" s="9" t="s">
        <v>70</v>
      </c>
      <c r="K579" s="7">
        <v>1</v>
      </c>
      <c r="L579" s="7" t="s">
        <v>52</v>
      </c>
      <c r="M579" s="7">
        <f t="shared" si="43"/>
        <v>1</v>
      </c>
      <c r="N579" s="9" t="s">
        <v>34</v>
      </c>
      <c r="O579" s="7">
        <v>0</v>
      </c>
      <c r="P579" s="9" t="s">
        <v>63</v>
      </c>
      <c r="Q579" s="7" t="s">
        <v>52</v>
      </c>
      <c r="R579" s="7" t="s">
        <v>38</v>
      </c>
      <c r="S579" s="7" t="s">
        <v>438</v>
      </c>
      <c r="T579" s="7"/>
      <c r="U579" s="7"/>
      <c r="V579" s="7"/>
      <c r="W579" s="7"/>
      <c r="X579" s="7">
        <v>3</v>
      </c>
      <c r="Y579" s="7"/>
      <c r="Z579" s="7"/>
      <c r="AA579" s="7"/>
      <c r="AB579" s="7">
        <f t="shared" si="42"/>
        <v>1</v>
      </c>
      <c r="AC579" s="7">
        <f t="shared" si="44"/>
        <v>1</v>
      </c>
      <c r="AD579" s="7"/>
      <c r="AE579" s="7"/>
      <c r="AF579" s="7"/>
      <c r="AG579" s="7"/>
      <c r="AH579" s="7"/>
      <c r="AI579" s="7"/>
      <c r="AJ579" s="7"/>
      <c r="AK579" s="7"/>
      <c r="AL579" s="9"/>
      <c r="AM579" s="7" t="s">
        <v>71</v>
      </c>
      <c r="AN579" s="7" t="s">
        <v>71</v>
      </c>
      <c r="AO579" s="12"/>
    </row>
    <row r="580" spans="1:41" s="11" customFormat="1" x14ac:dyDescent="0.25">
      <c r="A580" s="2">
        <v>579</v>
      </c>
      <c r="B580" s="7" t="s">
        <v>489</v>
      </c>
      <c r="C580" s="7" t="s">
        <v>100</v>
      </c>
      <c r="D580" s="7">
        <v>5</v>
      </c>
      <c r="E580" s="7">
        <v>5</v>
      </c>
      <c r="F580" s="8">
        <v>1</v>
      </c>
      <c r="G580" s="8">
        <v>1</v>
      </c>
      <c r="H580" s="7">
        <v>1</v>
      </c>
      <c r="I580" s="7">
        <v>1</v>
      </c>
      <c r="J580" s="9" t="s">
        <v>35</v>
      </c>
      <c r="K580" s="7">
        <v>2</v>
      </c>
      <c r="L580" s="7" t="s">
        <v>52</v>
      </c>
      <c r="M580" s="7">
        <f t="shared" si="43"/>
        <v>1</v>
      </c>
      <c r="N580" s="9" t="s">
        <v>34</v>
      </c>
      <c r="O580" s="7">
        <v>0</v>
      </c>
      <c r="P580" s="9" t="s">
        <v>33</v>
      </c>
      <c r="Q580" s="7" t="s">
        <v>38</v>
      </c>
      <c r="R580" s="7" t="s">
        <v>38</v>
      </c>
      <c r="S580" s="10" t="s">
        <v>500</v>
      </c>
      <c r="T580" s="7"/>
      <c r="U580" s="7"/>
      <c r="V580" s="7"/>
      <c r="W580" s="7"/>
      <c r="X580" s="7">
        <v>3</v>
      </c>
      <c r="Y580" s="7"/>
      <c r="Z580" s="7"/>
      <c r="AA580" s="7"/>
      <c r="AB580" s="7">
        <f t="shared" si="42"/>
        <v>1</v>
      </c>
      <c r="AC580" s="7">
        <f t="shared" si="44"/>
        <v>1</v>
      </c>
      <c r="AD580" s="7"/>
      <c r="AE580" s="7"/>
      <c r="AF580" s="7"/>
      <c r="AG580" s="7"/>
      <c r="AH580" s="7"/>
      <c r="AI580" s="7"/>
      <c r="AJ580" s="7"/>
      <c r="AK580" s="7"/>
      <c r="AL580" s="9"/>
      <c r="AM580" s="7" t="s">
        <v>71</v>
      </c>
      <c r="AN580" s="7" t="s">
        <v>71</v>
      </c>
      <c r="AO580" s="12"/>
    </row>
    <row r="581" spans="1:41" s="11" customFormat="1" ht="24" x14ac:dyDescent="0.25">
      <c r="A581" s="2">
        <v>580</v>
      </c>
      <c r="B581" s="7" t="s">
        <v>489</v>
      </c>
      <c r="C581" s="7" t="s">
        <v>100</v>
      </c>
      <c r="D581" s="7">
        <v>9</v>
      </c>
      <c r="E581" s="7">
        <v>9</v>
      </c>
      <c r="F581" s="8">
        <v>1</v>
      </c>
      <c r="G581" s="8">
        <v>1</v>
      </c>
      <c r="H581" s="7">
        <v>1</v>
      </c>
      <c r="I581" s="7">
        <v>1</v>
      </c>
      <c r="J581" s="9" t="s">
        <v>35</v>
      </c>
      <c r="K581" s="7">
        <v>2</v>
      </c>
      <c r="L581" s="7" t="s">
        <v>52</v>
      </c>
      <c r="M581" s="7">
        <f t="shared" si="43"/>
        <v>1</v>
      </c>
      <c r="N581" s="9" t="s">
        <v>36</v>
      </c>
      <c r="O581" s="7">
        <v>0</v>
      </c>
      <c r="P581" s="9" t="s">
        <v>34</v>
      </c>
      <c r="Q581" s="7" t="s">
        <v>38</v>
      </c>
      <c r="R581" s="7" t="s">
        <v>38</v>
      </c>
      <c r="S581" s="10" t="s">
        <v>1835</v>
      </c>
      <c r="T581" s="7"/>
      <c r="U581" s="7"/>
      <c r="V581" s="7"/>
      <c r="W581" s="7"/>
      <c r="X581" s="7">
        <v>3</v>
      </c>
      <c r="Y581" s="7"/>
      <c r="Z581" s="7"/>
      <c r="AA581" s="7"/>
      <c r="AB581" s="7">
        <f t="shared" si="42"/>
        <v>1</v>
      </c>
      <c r="AC581" s="7">
        <f t="shared" si="44"/>
        <v>1</v>
      </c>
      <c r="AD581" s="7"/>
      <c r="AE581" s="7"/>
      <c r="AF581" s="7"/>
      <c r="AG581" s="7"/>
      <c r="AH581" s="7"/>
      <c r="AI581" s="7"/>
      <c r="AJ581" s="7"/>
      <c r="AK581" s="7"/>
      <c r="AL581" s="9"/>
      <c r="AM581" s="7" t="s">
        <v>71</v>
      </c>
      <c r="AN581" s="7" t="s">
        <v>71</v>
      </c>
      <c r="AO581" s="12"/>
    </row>
    <row r="582" spans="1:41" s="11" customFormat="1" x14ac:dyDescent="0.25">
      <c r="A582" s="2">
        <v>581</v>
      </c>
      <c r="B582" s="7" t="s">
        <v>489</v>
      </c>
      <c r="C582" s="7" t="s">
        <v>100</v>
      </c>
      <c r="D582" s="7">
        <v>5</v>
      </c>
      <c r="E582" s="7">
        <v>5</v>
      </c>
      <c r="F582" s="8">
        <v>1</v>
      </c>
      <c r="G582" s="8">
        <v>1</v>
      </c>
      <c r="H582" s="7">
        <v>1</v>
      </c>
      <c r="I582" s="7">
        <v>1</v>
      </c>
      <c r="J582" s="9" t="s">
        <v>35</v>
      </c>
      <c r="K582" s="7">
        <v>2</v>
      </c>
      <c r="L582" s="7" t="s">
        <v>52</v>
      </c>
      <c r="M582" s="7">
        <f t="shared" si="43"/>
        <v>1</v>
      </c>
      <c r="N582" s="9" t="s">
        <v>34</v>
      </c>
      <c r="O582" s="7">
        <v>0</v>
      </c>
      <c r="P582" s="9" t="s">
        <v>33</v>
      </c>
      <c r="Q582" s="7" t="s">
        <v>38</v>
      </c>
      <c r="R582" s="7" t="s">
        <v>38</v>
      </c>
      <c r="S582" s="7"/>
      <c r="T582" s="7"/>
      <c r="U582" s="7"/>
      <c r="V582" s="7"/>
      <c r="W582" s="7"/>
      <c r="X582" s="7">
        <v>3</v>
      </c>
      <c r="Y582" s="7"/>
      <c r="Z582" s="7"/>
      <c r="AA582" s="7"/>
      <c r="AB582" s="7">
        <f t="shared" si="42"/>
        <v>1</v>
      </c>
      <c r="AC582" s="7">
        <f t="shared" si="44"/>
        <v>1</v>
      </c>
      <c r="AD582" s="7"/>
      <c r="AE582" s="7"/>
      <c r="AF582" s="7"/>
      <c r="AG582" s="7"/>
      <c r="AH582" s="7"/>
      <c r="AI582" s="7"/>
      <c r="AJ582" s="7"/>
      <c r="AK582" s="7"/>
      <c r="AL582" s="9"/>
      <c r="AM582" s="7" t="s">
        <v>71</v>
      </c>
      <c r="AN582" s="7" t="s">
        <v>71</v>
      </c>
      <c r="AO582" s="12"/>
    </row>
    <row r="583" spans="1:41" s="11" customFormat="1" x14ac:dyDescent="0.25">
      <c r="A583" s="2">
        <v>582</v>
      </c>
      <c r="B583" s="7" t="s">
        <v>489</v>
      </c>
      <c r="C583" s="7" t="s">
        <v>100</v>
      </c>
      <c r="D583" s="7">
        <v>2</v>
      </c>
      <c r="E583" s="7">
        <v>2</v>
      </c>
      <c r="F583" s="8">
        <v>1</v>
      </c>
      <c r="G583" s="8">
        <v>1</v>
      </c>
      <c r="H583" s="7">
        <v>1</v>
      </c>
      <c r="I583" s="7">
        <v>1</v>
      </c>
      <c r="J583" s="9" t="s">
        <v>219</v>
      </c>
      <c r="K583" s="7" t="s">
        <v>501</v>
      </c>
      <c r="L583" s="7" t="s">
        <v>52</v>
      </c>
      <c r="M583" s="7">
        <f t="shared" si="43"/>
        <v>1</v>
      </c>
      <c r="N583" s="9" t="s">
        <v>34</v>
      </c>
      <c r="O583" s="7">
        <v>0</v>
      </c>
      <c r="P583" s="9" t="s">
        <v>34</v>
      </c>
      <c r="Q583" s="7"/>
      <c r="R583" s="7" t="s">
        <v>38</v>
      </c>
      <c r="S583" s="10" t="s">
        <v>1836</v>
      </c>
      <c r="T583" s="7"/>
      <c r="U583" s="7"/>
      <c r="V583" s="7"/>
      <c r="W583" s="7"/>
      <c r="X583" s="7">
        <v>3</v>
      </c>
      <c r="Y583" s="7"/>
      <c r="Z583" s="7"/>
      <c r="AA583" s="7"/>
      <c r="AB583" s="7">
        <f t="shared" si="42"/>
        <v>1</v>
      </c>
      <c r="AC583" s="7">
        <f t="shared" si="44"/>
        <v>1</v>
      </c>
      <c r="AD583" s="7"/>
      <c r="AE583" s="7"/>
      <c r="AF583" s="7"/>
      <c r="AG583" s="7"/>
      <c r="AH583" s="7"/>
      <c r="AI583" s="7"/>
      <c r="AJ583" s="7"/>
      <c r="AK583" s="7"/>
      <c r="AL583" s="9"/>
      <c r="AM583" s="7" t="s">
        <v>71</v>
      </c>
      <c r="AN583" s="7" t="s">
        <v>71</v>
      </c>
      <c r="AO583" s="12"/>
    </row>
    <row r="584" spans="1:41" s="11" customFormat="1" x14ac:dyDescent="0.25">
      <c r="A584" s="2">
        <v>583</v>
      </c>
      <c r="B584" s="7" t="s">
        <v>489</v>
      </c>
      <c r="C584" s="7" t="s">
        <v>100</v>
      </c>
      <c r="D584" s="7">
        <v>4</v>
      </c>
      <c r="E584" s="7">
        <v>4</v>
      </c>
      <c r="F584" s="8">
        <v>1</v>
      </c>
      <c r="G584" s="8">
        <v>1</v>
      </c>
      <c r="H584" s="7">
        <v>1</v>
      </c>
      <c r="I584" s="7">
        <v>1</v>
      </c>
      <c r="J584" s="9" t="s">
        <v>219</v>
      </c>
      <c r="K584" s="7"/>
      <c r="L584" s="7" t="s">
        <v>52</v>
      </c>
      <c r="M584" s="7">
        <f t="shared" si="43"/>
        <v>1</v>
      </c>
      <c r="N584" s="9" t="s">
        <v>34</v>
      </c>
      <c r="O584" s="7">
        <v>0</v>
      </c>
      <c r="P584" s="9" t="s">
        <v>34</v>
      </c>
      <c r="Q584" s="7" t="s">
        <v>38</v>
      </c>
      <c r="R584" s="7" t="s">
        <v>38</v>
      </c>
      <c r="S584" s="10" t="s">
        <v>500</v>
      </c>
      <c r="T584" s="7"/>
      <c r="U584" s="7"/>
      <c r="V584" s="7"/>
      <c r="W584" s="7"/>
      <c r="X584" s="7">
        <v>3</v>
      </c>
      <c r="Y584" s="7"/>
      <c r="Z584" s="7"/>
      <c r="AA584" s="7"/>
      <c r="AB584" s="7">
        <f t="shared" si="42"/>
        <v>1</v>
      </c>
      <c r="AC584" s="7">
        <f t="shared" si="44"/>
        <v>1</v>
      </c>
      <c r="AD584" s="7"/>
      <c r="AE584" s="7"/>
      <c r="AF584" s="7"/>
      <c r="AG584" s="7"/>
      <c r="AH584" s="7"/>
      <c r="AI584" s="7"/>
      <c r="AJ584" s="7"/>
      <c r="AK584" s="7"/>
      <c r="AL584" s="9"/>
      <c r="AM584" s="7" t="s">
        <v>71</v>
      </c>
      <c r="AN584" s="7" t="s">
        <v>71</v>
      </c>
      <c r="AO584" s="12"/>
    </row>
    <row r="585" spans="1:41" s="11" customFormat="1" x14ac:dyDescent="0.25">
      <c r="A585" s="2">
        <v>584</v>
      </c>
      <c r="B585" s="7" t="s">
        <v>502</v>
      </c>
      <c r="C585" s="7" t="s">
        <v>50</v>
      </c>
      <c r="D585" s="7">
        <v>22</v>
      </c>
      <c r="E585" s="7">
        <v>22</v>
      </c>
      <c r="F585" s="8">
        <v>1</v>
      </c>
      <c r="G585" s="8">
        <v>1</v>
      </c>
      <c r="H585" s="7">
        <v>1</v>
      </c>
      <c r="I585" s="7">
        <v>1</v>
      </c>
      <c r="J585" s="9" t="s">
        <v>70</v>
      </c>
      <c r="K585" s="7">
        <v>2</v>
      </c>
      <c r="L585" s="7" t="s">
        <v>52</v>
      </c>
      <c r="M585" s="7">
        <f t="shared" si="43"/>
        <v>1</v>
      </c>
      <c r="N585" s="9" t="s">
        <v>36</v>
      </c>
      <c r="O585" s="7">
        <v>0</v>
      </c>
      <c r="P585" s="9" t="s">
        <v>63</v>
      </c>
      <c r="Q585" s="7" t="s">
        <v>52</v>
      </c>
      <c r="R585" s="7" t="s">
        <v>38</v>
      </c>
      <c r="S585" s="10" t="s">
        <v>1837</v>
      </c>
      <c r="T585" s="7"/>
      <c r="U585" s="7"/>
      <c r="V585" s="7"/>
      <c r="W585" s="7"/>
      <c r="X585" s="7"/>
      <c r="Y585" s="7">
        <v>25</v>
      </c>
      <c r="Z585" s="7">
        <v>25</v>
      </c>
      <c r="AA585" s="7">
        <v>80</v>
      </c>
      <c r="AB585" s="7">
        <f t="shared" si="42"/>
        <v>8.3333333333333339</v>
      </c>
      <c r="AC585" s="7">
        <f t="shared" si="44"/>
        <v>8.3333333333333339</v>
      </c>
      <c r="AD585" s="7"/>
      <c r="AE585" s="7"/>
      <c r="AF585" s="7"/>
      <c r="AG585" s="7"/>
      <c r="AH585" s="7"/>
      <c r="AI585" s="7"/>
      <c r="AJ585" s="7"/>
      <c r="AK585" s="7"/>
      <c r="AL585" s="9"/>
      <c r="AM585" s="7" t="s">
        <v>71</v>
      </c>
      <c r="AN585" s="7" t="s">
        <v>71</v>
      </c>
      <c r="AO585" s="12"/>
    </row>
    <row r="586" spans="1:41" s="11" customFormat="1" ht="24" x14ac:dyDescent="0.25">
      <c r="A586" s="2">
        <v>585</v>
      </c>
      <c r="B586" s="7" t="s">
        <v>502</v>
      </c>
      <c r="C586" s="7" t="s">
        <v>119</v>
      </c>
      <c r="D586" s="7">
        <v>8</v>
      </c>
      <c r="E586" s="7">
        <v>8</v>
      </c>
      <c r="F586" s="8">
        <v>1</v>
      </c>
      <c r="G586" s="8">
        <v>1</v>
      </c>
      <c r="H586" s="7">
        <v>1</v>
      </c>
      <c r="I586" s="7">
        <v>1</v>
      </c>
      <c r="J586" s="9" t="s">
        <v>70</v>
      </c>
      <c r="K586" s="7">
        <v>1</v>
      </c>
      <c r="L586" s="7" t="s">
        <v>52</v>
      </c>
      <c r="M586" s="7">
        <f t="shared" si="43"/>
        <v>1</v>
      </c>
      <c r="N586" s="9" t="s">
        <v>36</v>
      </c>
      <c r="O586" s="7">
        <v>0</v>
      </c>
      <c r="P586" s="9" t="s">
        <v>37</v>
      </c>
      <c r="Q586" s="7" t="s">
        <v>38</v>
      </c>
      <c r="R586" s="7" t="s">
        <v>38</v>
      </c>
      <c r="S586" s="10" t="s">
        <v>1838</v>
      </c>
      <c r="T586" s="7"/>
      <c r="U586" s="7"/>
      <c r="V586" s="7"/>
      <c r="W586" s="7"/>
      <c r="X586" s="7">
        <v>3</v>
      </c>
      <c r="Y586" s="7"/>
      <c r="Z586" s="7"/>
      <c r="AA586" s="7"/>
      <c r="AB586" s="7">
        <f t="shared" si="42"/>
        <v>1</v>
      </c>
      <c r="AC586" s="7">
        <f t="shared" si="44"/>
        <v>1</v>
      </c>
      <c r="AD586" s="7">
        <v>1</v>
      </c>
      <c r="AE586" s="7"/>
      <c r="AF586" s="7" t="s">
        <v>40</v>
      </c>
      <c r="AG586" s="7" t="s">
        <v>503</v>
      </c>
      <c r="AH586" s="7"/>
      <c r="AI586" s="7"/>
      <c r="AJ586" s="7"/>
      <c r="AK586" s="7"/>
      <c r="AL586" s="9"/>
      <c r="AM586" s="7" t="s">
        <v>42</v>
      </c>
      <c r="AN586" s="7" t="s">
        <v>42</v>
      </c>
      <c r="AO586" s="12"/>
    </row>
    <row r="587" spans="1:41" s="11" customFormat="1" x14ac:dyDescent="0.25">
      <c r="A587" s="2">
        <v>586</v>
      </c>
      <c r="B587" s="7" t="s">
        <v>502</v>
      </c>
      <c r="C587" s="7" t="s">
        <v>89</v>
      </c>
      <c r="D587" s="7" t="s">
        <v>504</v>
      </c>
      <c r="E587" s="7">
        <v>16</v>
      </c>
      <c r="F587" s="8">
        <v>1</v>
      </c>
      <c r="G587" s="8">
        <v>2</v>
      </c>
      <c r="H587" s="7" t="s">
        <v>87</v>
      </c>
      <c r="I587" s="7">
        <v>2</v>
      </c>
      <c r="J587" s="9" t="s">
        <v>70</v>
      </c>
      <c r="K587" s="7">
        <v>1</v>
      </c>
      <c r="L587" s="7" t="s">
        <v>52</v>
      </c>
      <c r="M587" s="7">
        <f t="shared" si="43"/>
        <v>1</v>
      </c>
      <c r="N587" s="9" t="s">
        <v>34</v>
      </c>
      <c r="O587" s="7">
        <v>0</v>
      </c>
      <c r="P587" s="9" t="s">
        <v>33</v>
      </c>
      <c r="Q587" s="7" t="s">
        <v>38</v>
      </c>
      <c r="R587" s="7" t="s">
        <v>38</v>
      </c>
      <c r="S587" s="7"/>
      <c r="T587" s="7"/>
      <c r="U587" s="7"/>
      <c r="V587" s="7"/>
      <c r="W587" s="7"/>
      <c r="X587" s="7">
        <v>3</v>
      </c>
      <c r="Y587" s="7"/>
      <c r="Z587" s="7"/>
      <c r="AA587" s="7"/>
      <c r="AB587" s="7">
        <f t="shared" si="42"/>
        <v>1</v>
      </c>
      <c r="AC587" s="7">
        <f t="shared" si="44"/>
        <v>1</v>
      </c>
      <c r="AD587" s="7"/>
      <c r="AE587" s="7"/>
      <c r="AF587" s="7"/>
      <c r="AG587" s="7"/>
      <c r="AH587" s="7"/>
      <c r="AI587" s="7"/>
      <c r="AJ587" s="7"/>
      <c r="AK587" s="10" t="s">
        <v>2447</v>
      </c>
      <c r="AL587" s="9"/>
      <c r="AM587" s="7" t="s">
        <v>71</v>
      </c>
      <c r="AN587" s="7" t="s">
        <v>71</v>
      </c>
      <c r="AO587" s="12"/>
    </row>
    <row r="588" spans="1:41" s="11" customFormat="1" x14ac:dyDescent="0.25">
      <c r="A588" s="2">
        <v>587</v>
      </c>
      <c r="B588" s="7" t="s">
        <v>502</v>
      </c>
      <c r="C588" s="7" t="s">
        <v>89</v>
      </c>
      <c r="D588" s="7" t="s">
        <v>130</v>
      </c>
      <c r="E588" s="7">
        <v>9</v>
      </c>
      <c r="F588" s="8">
        <v>2</v>
      </c>
      <c r="G588" s="8">
        <v>2</v>
      </c>
      <c r="H588" s="7" t="s">
        <v>87</v>
      </c>
      <c r="I588" s="7">
        <v>2</v>
      </c>
      <c r="J588" s="9" t="s">
        <v>70</v>
      </c>
      <c r="K588" s="7">
        <v>1</v>
      </c>
      <c r="L588" s="7" t="s">
        <v>52</v>
      </c>
      <c r="M588" s="7">
        <f t="shared" si="43"/>
        <v>2</v>
      </c>
      <c r="N588" s="9" t="s">
        <v>36</v>
      </c>
      <c r="O588" s="7">
        <v>0</v>
      </c>
      <c r="P588" s="9" t="s">
        <v>37</v>
      </c>
      <c r="Q588" s="7" t="s">
        <v>38</v>
      </c>
      <c r="R588" s="7" t="s">
        <v>38</v>
      </c>
      <c r="S588" s="10" t="s">
        <v>1744</v>
      </c>
      <c r="T588" s="7"/>
      <c r="U588" s="7"/>
      <c r="V588" s="7"/>
      <c r="W588" s="7"/>
      <c r="X588" s="7">
        <v>3</v>
      </c>
      <c r="Y588" s="7"/>
      <c r="Z588" s="7"/>
      <c r="AA588" s="7"/>
      <c r="AB588" s="7">
        <f t="shared" si="42"/>
        <v>1</v>
      </c>
      <c r="AC588" s="7">
        <f t="shared" si="44"/>
        <v>1</v>
      </c>
      <c r="AD588" s="7"/>
      <c r="AE588" s="7"/>
      <c r="AF588" s="7"/>
      <c r="AG588" s="7"/>
      <c r="AH588" s="7"/>
      <c r="AI588" s="7"/>
      <c r="AJ588" s="7"/>
      <c r="AK588" s="7"/>
      <c r="AL588" s="9"/>
      <c r="AM588" s="7" t="s">
        <v>71</v>
      </c>
      <c r="AN588" s="7" t="s">
        <v>71</v>
      </c>
      <c r="AO588" s="12"/>
    </row>
    <row r="589" spans="1:41" s="11" customFormat="1" x14ac:dyDescent="0.25">
      <c r="A589" s="2">
        <v>588</v>
      </c>
      <c r="B589" s="7" t="s">
        <v>502</v>
      </c>
      <c r="C589" s="7" t="s">
        <v>100</v>
      </c>
      <c r="D589" s="7">
        <v>3</v>
      </c>
      <c r="E589" s="7">
        <v>3</v>
      </c>
      <c r="F589" s="8">
        <v>1</v>
      </c>
      <c r="G589" s="8">
        <v>1</v>
      </c>
      <c r="H589" s="7">
        <v>1</v>
      </c>
      <c r="I589" s="7">
        <v>1</v>
      </c>
      <c r="J589" s="9" t="s">
        <v>70</v>
      </c>
      <c r="K589" s="7">
        <v>2</v>
      </c>
      <c r="L589" s="7" t="s">
        <v>52</v>
      </c>
      <c r="M589" s="7">
        <f t="shared" si="43"/>
        <v>1</v>
      </c>
      <c r="N589" s="9" t="s">
        <v>82</v>
      </c>
      <c r="O589" s="7">
        <v>0</v>
      </c>
      <c r="P589" s="9" t="s">
        <v>36</v>
      </c>
      <c r="Q589" s="7" t="s">
        <v>38</v>
      </c>
      <c r="R589" s="7" t="s">
        <v>38</v>
      </c>
      <c r="S589" s="7"/>
      <c r="T589" s="7"/>
      <c r="U589" s="7"/>
      <c r="V589" s="7"/>
      <c r="W589" s="7"/>
      <c r="X589" s="7">
        <v>3</v>
      </c>
      <c r="Y589" s="7"/>
      <c r="Z589" s="7"/>
      <c r="AA589" s="7"/>
      <c r="AB589" s="7">
        <f t="shared" ref="AB589:AB617" si="45">(U589+X589+Z589)/3</f>
        <v>1</v>
      </c>
      <c r="AC589" s="7">
        <f t="shared" si="44"/>
        <v>1</v>
      </c>
      <c r="AD589" s="7"/>
      <c r="AE589" s="7"/>
      <c r="AF589" s="7"/>
      <c r="AG589" s="7"/>
      <c r="AH589" s="7"/>
      <c r="AI589" s="7"/>
      <c r="AJ589" s="7"/>
      <c r="AK589" s="7"/>
      <c r="AL589" s="9"/>
      <c r="AM589" s="7" t="s">
        <v>71</v>
      </c>
      <c r="AN589" s="7" t="s">
        <v>71</v>
      </c>
      <c r="AO589" s="12"/>
    </row>
    <row r="590" spans="1:41" s="11" customFormat="1" x14ac:dyDescent="0.25">
      <c r="A590" s="2">
        <v>589</v>
      </c>
      <c r="B590" s="7" t="s">
        <v>502</v>
      </c>
      <c r="C590" s="7" t="s">
        <v>100</v>
      </c>
      <c r="D590" s="7">
        <v>7</v>
      </c>
      <c r="E590" s="7">
        <v>7</v>
      </c>
      <c r="F590" s="8">
        <v>1</v>
      </c>
      <c r="G590" s="8">
        <v>1</v>
      </c>
      <c r="H590" s="7">
        <v>1</v>
      </c>
      <c r="I590" s="7">
        <v>1</v>
      </c>
      <c r="J590" s="9" t="s">
        <v>219</v>
      </c>
      <c r="K590" s="7">
        <v>1</v>
      </c>
      <c r="L590" s="7" t="s">
        <v>52</v>
      </c>
      <c r="M590" s="7">
        <f t="shared" si="43"/>
        <v>1</v>
      </c>
      <c r="N590" s="9" t="s">
        <v>37</v>
      </c>
      <c r="O590" s="7">
        <v>0</v>
      </c>
      <c r="P590" s="9" t="s">
        <v>63</v>
      </c>
      <c r="Q590" s="7" t="s">
        <v>38</v>
      </c>
      <c r="R590" s="7" t="s">
        <v>38</v>
      </c>
      <c r="S590" s="10" t="s">
        <v>1839</v>
      </c>
      <c r="T590" s="7"/>
      <c r="U590" s="7"/>
      <c r="V590" s="7"/>
      <c r="W590" s="7"/>
      <c r="X590" s="7">
        <v>3</v>
      </c>
      <c r="Y590" s="7"/>
      <c r="Z590" s="7"/>
      <c r="AA590" s="7"/>
      <c r="AB590" s="7">
        <f t="shared" si="45"/>
        <v>1</v>
      </c>
      <c r="AC590" s="7">
        <f t="shared" si="44"/>
        <v>1</v>
      </c>
      <c r="AD590" s="7"/>
      <c r="AE590" s="7"/>
      <c r="AF590" s="7"/>
      <c r="AG590" s="7"/>
      <c r="AH590" s="7"/>
      <c r="AI590" s="7"/>
      <c r="AJ590" s="7"/>
      <c r="AK590" s="7"/>
      <c r="AL590" s="9"/>
      <c r="AM590" s="7" t="s">
        <v>71</v>
      </c>
      <c r="AN590" s="7" t="s">
        <v>71</v>
      </c>
      <c r="AO590" s="12"/>
    </row>
    <row r="591" spans="1:41" s="11" customFormat="1" ht="48" x14ac:dyDescent="0.25">
      <c r="A591" s="2">
        <v>590</v>
      </c>
      <c r="B591" s="7" t="s">
        <v>419</v>
      </c>
      <c r="C591" s="7" t="s">
        <v>174</v>
      </c>
      <c r="D591" s="7" t="s">
        <v>505</v>
      </c>
      <c r="E591" s="7">
        <f>41+27</f>
        <v>68</v>
      </c>
      <c r="F591" s="8">
        <v>1</v>
      </c>
      <c r="G591" s="8">
        <v>3</v>
      </c>
      <c r="H591" s="7" t="s">
        <v>97</v>
      </c>
      <c r="I591" s="7">
        <v>3</v>
      </c>
      <c r="J591" s="9" t="s">
        <v>35</v>
      </c>
      <c r="K591" s="7">
        <v>1</v>
      </c>
      <c r="L591" s="7" t="s">
        <v>52</v>
      </c>
      <c r="M591" s="7">
        <f t="shared" si="43"/>
        <v>1</v>
      </c>
      <c r="N591" s="9" t="s">
        <v>34</v>
      </c>
      <c r="O591" s="7">
        <v>0</v>
      </c>
      <c r="P591" s="9" t="s">
        <v>37</v>
      </c>
      <c r="Q591" s="7" t="s">
        <v>38</v>
      </c>
      <c r="R591" s="7" t="s">
        <v>38</v>
      </c>
      <c r="S591" s="10" t="s">
        <v>1718</v>
      </c>
      <c r="T591" s="7">
        <v>15</v>
      </c>
      <c r="U591" s="7">
        <v>15</v>
      </c>
      <c r="V591" s="7" t="s">
        <v>506</v>
      </c>
      <c r="W591" s="7" t="s">
        <v>507</v>
      </c>
      <c r="X591" s="7">
        <v>3</v>
      </c>
      <c r="Y591" s="7"/>
      <c r="Z591" s="7"/>
      <c r="AA591" s="7"/>
      <c r="AB591" s="7">
        <f t="shared" si="45"/>
        <v>6</v>
      </c>
      <c r="AC591" s="7">
        <f t="shared" si="44"/>
        <v>6</v>
      </c>
      <c r="AD591" s="7"/>
      <c r="AE591" s="7"/>
      <c r="AF591" s="7"/>
      <c r="AG591" s="7"/>
      <c r="AH591" s="7"/>
      <c r="AI591" s="7"/>
      <c r="AJ591" s="10" t="s">
        <v>2353</v>
      </c>
      <c r="AK591" s="7"/>
      <c r="AL591" s="9"/>
      <c r="AM591" s="7" t="s">
        <v>111</v>
      </c>
      <c r="AN591" s="7" t="s">
        <v>2848</v>
      </c>
      <c r="AO591" s="12"/>
    </row>
    <row r="592" spans="1:41" s="11" customFormat="1" ht="24" x14ac:dyDescent="0.25">
      <c r="A592" s="2">
        <v>591</v>
      </c>
      <c r="B592" s="7" t="s">
        <v>508</v>
      </c>
      <c r="C592" s="7" t="s">
        <v>107</v>
      </c>
      <c r="D592" s="7" t="s">
        <v>509</v>
      </c>
      <c r="E592" s="7">
        <f>181+41+35</f>
        <v>257</v>
      </c>
      <c r="F592" s="8">
        <v>1</v>
      </c>
      <c r="G592" s="9" t="s">
        <v>293</v>
      </c>
      <c r="H592" s="7">
        <v>3</v>
      </c>
      <c r="I592" s="7">
        <v>3</v>
      </c>
      <c r="J592" s="9" t="s">
        <v>219</v>
      </c>
      <c r="K592" s="7">
        <v>13</v>
      </c>
      <c r="L592" s="7" t="s">
        <v>52</v>
      </c>
      <c r="M592" s="7">
        <f t="shared" si="43"/>
        <v>1</v>
      </c>
      <c r="N592" s="9" t="s">
        <v>36</v>
      </c>
      <c r="O592" s="7">
        <v>0</v>
      </c>
      <c r="P592" s="9" t="s">
        <v>34</v>
      </c>
      <c r="Q592" s="7" t="s">
        <v>38</v>
      </c>
      <c r="R592" s="7" t="s">
        <v>38</v>
      </c>
      <c r="S592" s="10" t="s">
        <v>1840</v>
      </c>
      <c r="T592" s="7"/>
      <c r="U592" s="7"/>
      <c r="V592" s="7"/>
      <c r="W592" s="7"/>
      <c r="X592" s="7">
        <v>3</v>
      </c>
      <c r="Y592" s="7">
        <v>15</v>
      </c>
      <c r="Z592" s="7">
        <v>15</v>
      </c>
      <c r="AA592" s="7">
        <v>210</v>
      </c>
      <c r="AB592" s="7">
        <f t="shared" si="45"/>
        <v>6</v>
      </c>
      <c r="AC592" s="7">
        <f t="shared" si="44"/>
        <v>6</v>
      </c>
      <c r="AD592" s="7"/>
      <c r="AE592" s="7"/>
      <c r="AF592" s="7"/>
      <c r="AG592" s="7"/>
      <c r="AH592" s="7"/>
      <c r="AI592" s="7"/>
      <c r="AJ592" s="7"/>
      <c r="AK592" s="7"/>
      <c r="AL592" s="9"/>
      <c r="AM592" s="7" t="s">
        <v>510</v>
      </c>
      <c r="AN592" s="7" t="s">
        <v>662</v>
      </c>
      <c r="AO592" s="12"/>
    </row>
    <row r="593" spans="1:41" s="11" customFormat="1" x14ac:dyDescent="0.25">
      <c r="A593" s="2">
        <v>592</v>
      </c>
      <c r="B593" s="7" t="s">
        <v>511</v>
      </c>
      <c r="C593" s="7" t="s">
        <v>89</v>
      </c>
      <c r="D593" s="7" t="s">
        <v>512</v>
      </c>
      <c r="E593" s="7">
        <f>42+50+29+12+30+14+9+8</f>
        <v>194</v>
      </c>
      <c r="F593" s="8">
        <v>1</v>
      </c>
      <c r="G593" s="9" t="s">
        <v>513</v>
      </c>
      <c r="H593" s="7" t="s">
        <v>514</v>
      </c>
      <c r="I593" s="7">
        <v>18</v>
      </c>
      <c r="J593" s="9" t="s">
        <v>35</v>
      </c>
      <c r="K593" s="7">
        <v>2</v>
      </c>
      <c r="L593" s="7" t="s">
        <v>52</v>
      </c>
      <c r="M593" s="7">
        <f t="shared" si="43"/>
        <v>1</v>
      </c>
      <c r="N593" s="9" t="s">
        <v>34</v>
      </c>
      <c r="O593" s="7">
        <v>0</v>
      </c>
      <c r="P593" s="9" t="s">
        <v>33</v>
      </c>
      <c r="Q593" s="7" t="s">
        <v>52</v>
      </c>
      <c r="R593" s="7" t="s">
        <v>38</v>
      </c>
      <c r="S593" s="10" t="s">
        <v>1841</v>
      </c>
      <c r="T593" s="7"/>
      <c r="U593" s="7"/>
      <c r="V593" s="7"/>
      <c r="W593" s="7"/>
      <c r="X593" s="7">
        <v>10</v>
      </c>
      <c r="Y593" s="7"/>
      <c r="Z593" s="7"/>
      <c r="AA593" s="7"/>
      <c r="AB593" s="7">
        <f t="shared" si="45"/>
        <v>3.3333333333333335</v>
      </c>
      <c r="AC593" s="7">
        <f t="shared" si="44"/>
        <v>3.3333333333333335</v>
      </c>
      <c r="AD593" s="7"/>
      <c r="AE593" s="7">
        <v>1</v>
      </c>
      <c r="AF593" s="7" t="s">
        <v>40</v>
      </c>
      <c r="AG593" s="7" t="s">
        <v>515</v>
      </c>
      <c r="AH593" s="7"/>
      <c r="AI593" s="7"/>
      <c r="AJ593" s="7"/>
      <c r="AK593" s="7"/>
      <c r="AL593" s="9"/>
      <c r="AM593" s="7" t="s">
        <v>312</v>
      </c>
      <c r="AN593" s="7" t="s">
        <v>2847</v>
      </c>
      <c r="AO593" s="12"/>
    </row>
    <row r="594" spans="1:41" s="11" customFormat="1" x14ac:dyDescent="0.25">
      <c r="A594" s="2">
        <v>593</v>
      </c>
      <c r="B594" s="7" t="s">
        <v>516</v>
      </c>
      <c r="C594" s="7" t="s">
        <v>32</v>
      </c>
      <c r="D594" s="7" t="s">
        <v>408</v>
      </c>
      <c r="E594" s="7">
        <v>15</v>
      </c>
      <c r="F594" s="8">
        <v>1</v>
      </c>
      <c r="G594" s="9" t="s">
        <v>196</v>
      </c>
      <c r="H594" s="7">
        <v>2</v>
      </c>
      <c r="I594" s="7">
        <v>2</v>
      </c>
      <c r="J594" s="9" t="s">
        <v>176</v>
      </c>
      <c r="K594" s="7">
        <v>2</v>
      </c>
      <c r="L594" s="7" t="s">
        <v>52</v>
      </c>
      <c r="M594" s="7">
        <f t="shared" si="43"/>
        <v>1</v>
      </c>
      <c r="N594" s="9" t="s">
        <v>517</v>
      </c>
      <c r="O594" s="7">
        <v>0</v>
      </c>
      <c r="P594" s="9" t="s">
        <v>63</v>
      </c>
      <c r="Q594" s="7" t="s">
        <v>38</v>
      </c>
      <c r="R594" s="7" t="s">
        <v>38</v>
      </c>
      <c r="S594" s="10" t="s">
        <v>1842</v>
      </c>
      <c r="T594" s="7"/>
      <c r="U594" s="7"/>
      <c r="V594" s="7"/>
      <c r="W594" s="7"/>
      <c r="X594" s="7">
        <v>20</v>
      </c>
      <c r="Y594" s="7">
        <v>30</v>
      </c>
      <c r="Z594" s="7">
        <v>30</v>
      </c>
      <c r="AA594" s="7">
        <v>50</v>
      </c>
      <c r="AB594" s="7">
        <f t="shared" si="45"/>
        <v>16.666666666666668</v>
      </c>
      <c r="AC594" s="7">
        <f t="shared" si="44"/>
        <v>16.666666666666668</v>
      </c>
      <c r="AD594" s="7"/>
      <c r="AE594" s="7"/>
      <c r="AF594" s="7"/>
      <c r="AG594" s="7"/>
      <c r="AH594" s="7"/>
      <c r="AI594" s="7"/>
      <c r="AJ594" s="7"/>
      <c r="AK594" s="7"/>
      <c r="AL594" s="9"/>
      <c r="AM594" s="7" t="s">
        <v>349</v>
      </c>
      <c r="AN594" s="7" t="s">
        <v>2851</v>
      </c>
      <c r="AO594" s="15" t="s">
        <v>2549</v>
      </c>
    </row>
    <row r="595" spans="1:41" s="11" customFormat="1" ht="24" x14ac:dyDescent="0.25">
      <c r="A595" s="2">
        <v>594</v>
      </c>
      <c r="B595" s="7" t="s">
        <v>518</v>
      </c>
      <c r="C595" s="7" t="s">
        <v>519</v>
      </c>
      <c r="D595" s="7">
        <v>25</v>
      </c>
      <c r="E595" s="7">
        <v>25</v>
      </c>
      <c r="F595" s="8">
        <v>1</v>
      </c>
      <c r="G595" s="8">
        <v>1</v>
      </c>
      <c r="H595" s="7">
        <v>1</v>
      </c>
      <c r="I595" s="7">
        <v>1</v>
      </c>
      <c r="J595" s="9" t="s">
        <v>35</v>
      </c>
      <c r="K595" s="7">
        <v>1</v>
      </c>
      <c r="L595" s="7" t="s">
        <v>52</v>
      </c>
      <c r="M595" s="7">
        <f t="shared" si="43"/>
        <v>1</v>
      </c>
      <c r="N595" s="9" t="s">
        <v>34</v>
      </c>
      <c r="O595" s="7">
        <v>1</v>
      </c>
      <c r="P595" s="9" t="s">
        <v>63</v>
      </c>
      <c r="Q595" s="7" t="s">
        <v>38</v>
      </c>
      <c r="R595" s="7" t="s">
        <v>38</v>
      </c>
      <c r="S595" s="10" t="s">
        <v>1843</v>
      </c>
      <c r="T595" s="7"/>
      <c r="U595" s="7"/>
      <c r="V595" s="7"/>
      <c r="W595" s="7"/>
      <c r="X595" s="7">
        <v>5</v>
      </c>
      <c r="Y595" s="7"/>
      <c r="Z595" s="7"/>
      <c r="AA595" s="7"/>
      <c r="AB595" s="7">
        <f t="shared" si="45"/>
        <v>1.6666666666666667</v>
      </c>
      <c r="AC595" s="7">
        <f t="shared" si="44"/>
        <v>1.6666666666666667</v>
      </c>
      <c r="AD595" s="7">
        <v>1</v>
      </c>
      <c r="AE595" s="7"/>
      <c r="AF595" s="7" t="s">
        <v>40</v>
      </c>
      <c r="AG595" s="7" t="s">
        <v>520</v>
      </c>
      <c r="AH595" s="7" t="s">
        <v>38</v>
      </c>
      <c r="AI595" s="7"/>
      <c r="AJ595" s="7"/>
      <c r="AK595" s="7"/>
      <c r="AL595" s="9"/>
      <c r="AM595" s="7" t="s">
        <v>42</v>
      </c>
      <c r="AN595" s="7" t="s">
        <v>42</v>
      </c>
      <c r="AO595" s="15" t="s">
        <v>2550</v>
      </c>
    </row>
    <row r="596" spans="1:41" s="11" customFormat="1" x14ac:dyDescent="0.25">
      <c r="A596" s="2">
        <v>595</v>
      </c>
      <c r="B596" s="7" t="s">
        <v>518</v>
      </c>
      <c r="C596" s="7" t="s">
        <v>119</v>
      </c>
      <c r="D596" s="7">
        <v>21</v>
      </c>
      <c r="E596" s="7">
        <v>21</v>
      </c>
      <c r="F596" s="8">
        <v>1</v>
      </c>
      <c r="G596" s="8">
        <v>1</v>
      </c>
      <c r="H596" s="7">
        <v>1</v>
      </c>
      <c r="I596" s="7">
        <v>1</v>
      </c>
      <c r="J596" s="9" t="s">
        <v>35</v>
      </c>
      <c r="K596" s="7">
        <v>1</v>
      </c>
      <c r="L596" s="7" t="s">
        <v>52</v>
      </c>
      <c r="M596" s="7">
        <f t="shared" si="43"/>
        <v>1</v>
      </c>
      <c r="N596" s="9" t="s">
        <v>34</v>
      </c>
      <c r="O596" s="7">
        <v>0</v>
      </c>
      <c r="P596" s="9" t="s">
        <v>33</v>
      </c>
      <c r="Q596" s="7" t="s">
        <v>38</v>
      </c>
      <c r="R596" s="7" t="s">
        <v>38</v>
      </c>
      <c r="S596" s="10" t="s">
        <v>1844</v>
      </c>
      <c r="T596" s="7"/>
      <c r="U596" s="7"/>
      <c r="V596" s="7"/>
      <c r="W596" s="7"/>
      <c r="X596" s="7">
        <v>3</v>
      </c>
      <c r="Y596" s="7"/>
      <c r="Z596" s="7"/>
      <c r="AA596" s="7"/>
      <c r="AB596" s="7">
        <f t="shared" si="45"/>
        <v>1</v>
      </c>
      <c r="AC596" s="7">
        <f t="shared" si="44"/>
        <v>1</v>
      </c>
      <c r="AD596" s="7">
        <v>1</v>
      </c>
      <c r="AE596" s="7"/>
      <c r="AF596" s="7" t="s">
        <v>40</v>
      </c>
      <c r="AG596" s="7" t="s">
        <v>162</v>
      </c>
      <c r="AH596" s="7"/>
      <c r="AI596" s="7"/>
      <c r="AJ596" s="7"/>
      <c r="AK596" s="7"/>
      <c r="AL596" s="9"/>
      <c r="AM596" s="7" t="s">
        <v>42</v>
      </c>
      <c r="AN596" s="7" t="s">
        <v>42</v>
      </c>
      <c r="AO596" s="12"/>
    </row>
    <row r="597" spans="1:41" s="11" customFormat="1" ht="24" x14ac:dyDescent="0.25">
      <c r="A597" s="2">
        <v>596</v>
      </c>
      <c r="B597" s="7" t="s">
        <v>518</v>
      </c>
      <c r="C597" s="7" t="s">
        <v>78</v>
      </c>
      <c r="D597" s="7">
        <v>8</v>
      </c>
      <c r="E597" s="7">
        <v>8</v>
      </c>
      <c r="F597" s="8">
        <v>1</v>
      </c>
      <c r="G597" s="8">
        <v>1</v>
      </c>
      <c r="H597" s="7">
        <v>1</v>
      </c>
      <c r="I597" s="7">
        <v>1</v>
      </c>
      <c r="J597" s="9" t="s">
        <v>35</v>
      </c>
      <c r="K597" s="7">
        <v>1</v>
      </c>
      <c r="L597" s="7" t="s">
        <v>52</v>
      </c>
      <c r="M597" s="7">
        <f t="shared" si="43"/>
        <v>1</v>
      </c>
      <c r="N597" s="9" t="s">
        <v>36</v>
      </c>
      <c r="O597" s="7">
        <v>0</v>
      </c>
      <c r="P597" s="9" t="s">
        <v>37</v>
      </c>
      <c r="Q597" s="7" t="s">
        <v>38</v>
      </c>
      <c r="R597" s="7" t="s">
        <v>38</v>
      </c>
      <c r="S597" s="10" t="s">
        <v>1845</v>
      </c>
      <c r="T597" s="7">
        <v>15</v>
      </c>
      <c r="U597" s="7">
        <v>15</v>
      </c>
      <c r="V597" s="7">
        <v>85</v>
      </c>
      <c r="W597" s="7" t="s">
        <v>83</v>
      </c>
      <c r="X597" s="7"/>
      <c r="Y597" s="7"/>
      <c r="Z597" s="7"/>
      <c r="AA597" s="7"/>
      <c r="AB597" s="7">
        <f t="shared" si="45"/>
        <v>5</v>
      </c>
      <c r="AC597" s="7">
        <f t="shared" si="44"/>
        <v>5</v>
      </c>
      <c r="AD597" s="7"/>
      <c r="AE597" s="7"/>
      <c r="AF597" s="7"/>
      <c r="AG597" s="7"/>
      <c r="AH597" s="7"/>
      <c r="AI597" s="7"/>
      <c r="AJ597" s="7"/>
      <c r="AK597" s="7" t="s">
        <v>252</v>
      </c>
      <c r="AL597" s="9"/>
      <c r="AM597" s="7" t="s">
        <v>42</v>
      </c>
      <c r="AN597" s="7" t="s">
        <v>42</v>
      </c>
      <c r="AO597" s="12"/>
    </row>
    <row r="598" spans="1:41" s="11" customFormat="1" ht="24" x14ac:dyDescent="0.25">
      <c r="A598" s="2">
        <v>597</v>
      </c>
      <c r="B598" s="7" t="s">
        <v>518</v>
      </c>
      <c r="C598" s="7" t="s">
        <v>89</v>
      </c>
      <c r="D598" s="7" t="s">
        <v>521</v>
      </c>
      <c r="E598" s="7">
        <v>11</v>
      </c>
      <c r="F598" s="8">
        <v>3</v>
      </c>
      <c r="G598" s="8">
        <v>3</v>
      </c>
      <c r="H598" s="7" t="s">
        <v>97</v>
      </c>
      <c r="I598" s="7">
        <v>3</v>
      </c>
      <c r="J598" s="9" t="s">
        <v>35</v>
      </c>
      <c r="K598" s="7">
        <v>2</v>
      </c>
      <c r="L598" s="7" t="s">
        <v>52</v>
      </c>
      <c r="M598" s="7">
        <f t="shared" si="43"/>
        <v>3</v>
      </c>
      <c r="N598" s="9" t="s">
        <v>34</v>
      </c>
      <c r="O598" s="7">
        <v>0</v>
      </c>
      <c r="P598" s="9" t="s">
        <v>63</v>
      </c>
      <c r="Q598" s="7" t="s">
        <v>38</v>
      </c>
      <c r="R598" s="7" t="s">
        <v>38</v>
      </c>
      <c r="S598" s="10" t="s">
        <v>1846</v>
      </c>
      <c r="T598" s="7"/>
      <c r="U598" s="7"/>
      <c r="V598" s="7"/>
      <c r="W598" s="7"/>
      <c r="X598" s="7">
        <v>3</v>
      </c>
      <c r="Y598" s="7"/>
      <c r="Z598" s="7"/>
      <c r="AA598" s="7"/>
      <c r="AB598" s="7">
        <f t="shared" si="45"/>
        <v>1</v>
      </c>
      <c r="AC598" s="7">
        <f t="shared" si="44"/>
        <v>1</v>
      </c>
      <c r="AD598" s="7"/>
      <c r="AE598" s="7"/>
      <c r="AF598" s="7"/>
      <c r="AG598" s="7"/>
      <c r="AH598" s="7"/>
      <c r="AI598" s="7"/>
      <c r="AJ598" s="7"/>
      <c r="AK598" s="7"/>
      <c r="AL598" s="9"/>
      <c r="AM598" s="7" t="s">
        <v>71</v>
      </c>
      <c r="AN598" s="7" t="s">
        <v>71</v>
      </c>
      <c r="AO598" s="12"/>
    </row>
    <row r="599" spans="1:41" s="11" customFormat="1" x14ac:dyDescent="0.25">
      <c r="A599" s="2">
        <v>598</v>
      </c>
      <c r="B599" s="7" t="s">
        <v>518</v>
      </c>
      <c r="C599" s="7" t="s">
        <v>100</v>
      </c>
      <c r="D599" s="7">
        <v>7</v>
      </c>
      <c r="E599" s="7">
        <v>7</v>
      </c>
      <c r="F599" s="8">
        <v>1</v>
      </c>
      <c r="G599" s="8">
        <v>1</v>
      </c>
      <c r="H599" s="7">
        <v>1</v>
      </c>
      <c r="I599" s="7">
        <v>1</v>
      </c>
      <c r="J599" s="9" t="s">
        <v>35</v>
      </c>
      <c r="K599" s="7">
        <v>1</v>
      </c>
      <c r="L599" s="7" t="s">
        <v>52</v>
      </c>
      <c r="M599" s="7">
        <f t="shared" si="43"/>
        <v>1</v>
      </c>
      <c r="N599" s="9" t="s">
        <v>34</v>
      </c>
      <c r="O599" s="7">
        <v>1</v>
      </c>
      <c r="P599" s="9" t="s">
        <v>33</v>
      </c>
      <c r="Q599" s="7" t="s">
        <v>52</v>
      </c>
      <c r="R599" s="7" t="s">
        <v>38</v>
      </c>
      <c r="S599" s="7"/>
      <c r="T599" s="7"/>
      <c r="U599" s="7"/>
      <c r="V599" s="7"/>
      <c r="W599" s="7"/>
      <c r="X599" s="7">
        <v>3</v>
      </c>
      <c r="Y599" s="7"/>
      <c r="Z599" s="7"/>
      <c r="AA599" s="7"/>
      <c r="AB599" s="7">
        <f t="shared" si="45"/>
        <v>1</v>
      </c>
      <c r="AC599" s="7">
        <f t="shared" si="44"/>
        <v>1</v>
      </c>
      <c r="AD599" s="7"/>
      <c r="AE599" s="7"/>
      <c r="AF599" s="7"/>
      <c r="AG599" s="7"/>
      <c r="AH599" s="7"/>
      <c r="AI599" s="7"/>
      <c r="AJ599" s="7"/>
      <c r="AK599" s="7"/>
      <c r="AL599" s="9"/>
      <c r="AM599" s="7" t="s">
        <v>71</v>
      </c>
      <c r="AN599" s="7" t="s">
        <v>71</v>
      </c>
      <c r="AO599" s="12"/>
    </row>
    <row r="600" spans="1:41" s="11" customFormat="1" x14ac:dyDescent="0.25">
      <c r="A600" s="2">
        <v>599</v>
      </c>
      <c r="B600" s="7" t="s">
        <v>518</v>
      </c>
      <c r="C600" s="7" t="s">
        <v>100</v>
      </c>
      <c r="D600" s="7">
        <v>1</v>
      </c>
      <c r="E600" s="7">
        <v>1</v>
      </c>
      <c r="F600" s="8">
        <v>1</v>
      </c>
      <c r="G600" s="8">
        <v>1</v>
      </c>
      <c r="H600" s="7">
        <v>1</v>
      </c>
      <c r="I600" s="7">
        <v>1</v>
      </c>
      <c r="J600" s="9" t="s">
        <v>35</v>
      </c>
      <c r="K600" s="7">
        <v>2</v>
      </c>
      <c r="L600" s="7" t="s">
        <v>52</v>
      </c>
      <c r="M600" s="7">
        <f t="shared" si="43"/>
        <v>1</v>
      </c>
      <c r="N600" s="9" t="s">
        <v>34</v>
      </c>
      <c r="O600" s="7">
        <v>0</v>
      </c>
      <c r="P600" s="9" t="s">
        <v>63</v>
      </c>
      <c r="Q600" s="7" t="s">
        <v>52</v>
      </c>
      <c r="R600" s="7" t="s">
        <v>38</v>
      </c>
      <c r="S600" s="10" t="s">
        <v>1556</v>
      </c>
      <c r="T600" s="7"/>
      <c r="U600" s="7"/>
      <c r="V600" s="7"/>
      <c r="W600" s="7"/>
      <c r="X600" s="7">
        <v>3</v>
      </c>
      <c r="Y600" s="7"/>
      <c r="Z600" s="7"/>
      <c r="AA600" s="7"/>
      <c r="AB600" s="7">
        <f t="shared" si="45"/>
        <v>1</v>
      </c>
      <c r="AC600" s="7">
        <f t="shared" si="44"/>
        <v>1</v>
      </c>
      <c r="AD600" s="7"/>
      <c r="AE600" s="7"/>
      <c r="AF600" s="7"/>
      <c r="AG600" s="7"/>
      <c r="AH600" s="7"/>
      <c r="AI600" s="7"/>
      <c r="AJ600" s="7"/>
      <c r="AK600" s="7"/>
      <c r="AL600" s="9"/>
      <c r="AM600" s="7" t="s">
        <v>71</v>
      </c>
      <c r="AN600" s="7" t="s">
        <v>71</v>
      </c>
      <c r="AO600" s="12"/>
    </row>
    <row r="601" spans="1:41" s="11" customFormat="1" x14ac:dyDescent="0.25">
      <c r="A601" s="2">
        <v>600</v>
      </c>
      <c r="B601" s="7" t="s">
        <v>518</v>
      </c>
      <c r="C601" s="7" t="s">
        <v>50</v>
      </c>
      <c r="D601" s="7">
        <v>20</v>
      </c>
      <c r="E601" s="7">
        <v>20</v>
      </c>
      <c r="F601" s="8">
        <v>1</v>
      </c>
      <c r="G601" s="8">
        <v>1</v>
      </c>
      <c r="H601" s="7">
        <v>1</v>
      </c>
      <c r="I601" s="7">
        <v>1</v>
      </c>
      <c r="J601" s="9" t="s">
        <v>176</v>
      </c>
      <c r="K601" s="7">
        <v>10</v>
      </c>
      <c r="L601" s="7" t="s">
        <v>52</v>
      </c>
      <c r="M601" s="7">
        <f t="shared" si="43"/>
        <v>1</v>
      </c>
      <c r="N601" s="9" t="s">
        <v>177</v>
      </c>
      <c r="O601" s="7">
        <v>0</v>
      </c>
      <c r="P601" s="9" t="s">
        <v>63</v>
      </c>
      <c r="Q601" s="7" t="s">
        <v>38</v>
      </c>
      <c r="R601" s="7" t="s">
        <v>52</v>
      </c>
      <c r="S601" s="10" t="s">
        <v>1847</v>
      </c>
      <c r="T601" s="7"/>
      <c r="U601" s="7"/>
      <c r="V601" s="7"/>
      <c r="W601" s="7"/>
      <c r="X601" s="7"/>
      <c r="Y601" s="7">
        <v>10</v>
      </c>
      <c r="Z601" s="7">
        <v>10</v>
      </c>
      <c r="AA601" s="7">
        <v>110</v>
      </c>
      <c r="AB601" s="7">
        <f t="shared" si="45"/>
        <v>3.3333333333333335</v>
      </c>
      <c r="AC601" s="7">
        <f t="shared" si="44"/>
        <v>3.3333333333333335</v>
      </c>
      <c r="AD601" s="7"/>
      <c r="AE601" s="7"/>
      <c r="AF601" s="7"/>
      <c r="AG601" s="7"/>
      <c r="AH601" s="7"/>
      <c r="AI601" s="7" t="s">
        <v>526</v>
      </c>
      <c r="AJ601" s="7"/>
      <c r="AK601" s="7"/>
      <c r="AL601" s="9"/>
      <c r="AM601" s="7" t="s">
        <v>71</v>
      </c>
      <c r="AN601" s="7" t="s">
        <v>71</v>
      </c>
      <c r="AO601" s="12"/>
    </row>
    <row r="602" spans="1:41" s="11" customFormat="1" x14ac:dyDescent="0.25">
      <c r="A602" s="2">
        <v>601</v>
      </c>
      <c r="B602" s="7" t="s">
        <v>489</v>
      </c>
      <c r="C602" s="7" t="s">
        <v>100</v>
      </c>
      <c r="D602" s="7">
        <v>9</v>
      </c>
      <c r="E602" s="7">
        <v>9</v>
      </c>
      <c r="F602" s="8">
        <v>1</v>
      </c>
      <c r="G602" s="8">
        <v>1</v>
      </c>
      <c r="H602" s="7">
        <v>1</v>
      </c>
      <c r="I602" s="7">
        <v>1</v>
      </c>
      <c r="J602" s="9" t="s">
        <v>176</v>
      </c>
      <c r="K602" s="7">
        <v>1</v>
      </c>
      <c r="L602" s="7" t="s">
        <v>52</v>
      </c>
      <c r="M602" s="7">
        <f t="shared" si="43"/>
        <v>1</v>
      </c>
      <c r="N602" s="9" t="s">
        <v>177</v>
      </c>
      <c r="O602" s="7">
        <v>0</v>
      </c>
      <c r="P602" s="9" t="s">
        <v>63</v>
      </c>
      <c r="Q602" s="7" t="s">
        <v>38</v>
      </c>
      <c r="R602" s="7" t="s">
        <v>38</v>
      </c>
      <c r="S602" s="10" t="s">
        <v>1848</v>
      </c>
      <c r="T602" s="7"/>
      <c r="U602" s="7"/>
      <c r="V602" s="7"/>
      <c r="W602" s="7"/>
      <c r="X602" s="7">
        <v>3</v>
      </c>
      <c r="Y602" s="7"/>
      <c r="Z602" s="7"/>
      <c r="AA602" s="7"/>
      <c r="AB602" s="7">
        <f t="shared" si="45"/>
        <v>1</v>
      </c>
      <c r="AC602" s="7">
        <f t="shared" si="44"/>
        <v>1</v>
      </c>
      <c r="AD602" s="7"/>
      <c r="AE602" s="7"/>
      <c r="AF602" s="7"/>
      <c r="AG602" s="7"/>
      <c r="AH602" s="7"/>
      <c r="AI602" s="7"/>
      <c r="AJ602" s="7"/>
      <c r="AK602" s="7"/>
      <c r="AL602" s="9"/>
      <c r="AM602" s="7" t="s">
        <v>71</v>
      </c>
      <c r="AN602" s="7" t="s">
        <v>71</v>
      </c>
      <c r="AO602" s="12"/>
    </row>
    <row r="603" spans="1:41" s="11" customFormat="1" x14ac:dyDescent="0.25">
      <c r="A603" s="2">
        <v>602</v>
      </c>
      <c r="B603" s="7" t="s">
        <v>518</v>
      </c>
      <c r="C603" s="7" t="s">
        <v>100</v>
      </c>
      <c r="D603" s="7">
        <v>4</v>
      </c>
      <c r="E603" s="7">
        <v>4</v>
      </c>
      <c r="F603" s="8">
        <v>1</v>
      </c>
      <c r="G603" s="8">
        <v>1</v>
      </c>
      <c r="H603" s="7">
        <v>1</v>
      </c>
      <c r="I603" s="7">
        <v>1</v>
      </c>
      <c r="J603" s="9" t="s">
        <v>176</v>
      </c>
      <c r="K603" s="9" t="s">
        <v>268</v>
      </c>
      <c r="L603" s="7" t="s">
        <v>52</v>
      </c>
      <c r="M603" s="7">
        <f t="shared" si="43"/>
        <v>1</v>
      </c>
      <c r="N603" s="9" t="s">
        <v>177</v>
      </c>
      <c r="O603" s="7">
        <v>0</v>
      </c>
      <c r="P603" s="9" t="s">
        <v>63</v>
      </c>
      <c r="Q603" s="9" t="s">
        <v>38</v>
      </c>
      <c r="R603" s="9" t="s">
        <v>52</v>
      </c>
      <c r="S603" s="10" t="s">
        <v>1849</v>
      </c>
      <c r="T603" s="7"/>
      <c r="U603" s="7"/>
      <c r="V603" s="7"/>
      <c r="W603" s="7"/>
      <c r="X603" s="7">
        <v>3</v>
      </c>
      <c r="Y603" s="7"/>
      <c r="Z603" s="7"/>
      <c r="AA603" s="7"/>
      <c r="AB603" s="7">
        <f t="shared" si="45"/>
        <v>1</v>
      </c>
      <c r="AC603" s="7">
        <f t="shared" si="44"/>
        <v>1</v>
      </c>
      <c r="AD603" s="7"/>
      <c r="AE603" s="7"/>
      <c r="AF603" s="7"/>
      <c r="AG603" s="7"/>
      <c r="AH603" s="7"/>
      <c r="AI603" s="7"/>
      <c r="AJ603" s="7"/>
      <c r="AK603" s="7"/>
      <c r="AL603" s="9"/>
      <c r="AM603" s="7" t="s">
        <v>71</v>
      </c>
      <c r="AN603" s="7" t="s">
        <v>71</v>
      </c>
      <c r="AO603" s="12"/>
    </row>
    <row r="604" spans="1:41" s="11" customFormat="1" ht="24" x14ac:dyDescent="0.25">
      <c r="A604" s="2">
        <v>603</v>
      </c>
      <c r="B604" s="7" t="s">
        <v>489</v>
      </c>
      <c r="C604" s="7" t="s">
        <v>78</v>
      </c>
      <c r="D604" s="7">
        <v>4</v>
      </c>
      <c r="E604" s="7">
        <v>4</v>
      </c>
      <c r="F604" s="8">
        <v>1</v>
      </c>
      <c r="G604" s="8">
        <v>1</v>
      </c>
      <c r="H604" s="7">
        <v>1</v>
      </c>
      <c r="I604" s="7">
        <v>1</v>
      </c>
      <c r="J604" s="9" t="s">
        <v>176</v>
      </c>
      <c r="K604" s="7">
        <v>2</v>
      </c>
      <c r="L604" s="7" t="s">
        <v>52</v>
      </c>
      <c r="M604" s="7">
        <f t="shared" si="43"/>
        <v>1</v>
      </c>
      <c r="N604" s="9" t="s">
        <v>177</v>
      </c>
      <c r="O604" s="7">
        <v>0</v>
      </c>
      <c r="P604" s="9" t="s">
        <v>63</v>
      </c>
      <c r="Q604" s="7" t="s">
        <v>38</v>
      </c>
      <c r="R604" s="7" t="s">
        <v>52</v>
      </c>
      <c r="S604" s="10" t="s">
        <v>1850</v>
      </c>
      <c r="T604" s="7">
        <v>7</v>
      </c>
      <c r="U604" s="7">
        <v>7</v>
      </c>
      <c r="V604" s="7">
        <v>120</v>
      </c>
      <c r="W604" s="7" t="s">
        <v>331</v>
      </c>
      <c r="X604" s="7"/>
      <c r="Y604" s="7"/>
      <c r="Z604" s="7"/>
      <c r="AA604" s="7"/>
      <c r="AB604" s="7">
        <f t="shared" si="45"/>
        <v>2.3333333333333335</v>
      </c>
      <c r="AC604" s="7">
        <f t="shared" si="44"/>
        <v>2.3333333333333335</v>
      </c>
      <c r="AD604" s="7"/>
      <c r="AE604" s="7"/>
      <c r="AF604" s="7"/>
      <c r="AG604" s="7"/>
      <c r="AH604" s="7"/>
      <c r="AI604" s="7"/>
      <c r="AJ604" s="7"/>
      <c r="AK604" s="7"/>
      <c r="AL604" s="9"/>
      <c r="AM604" s="7" t="s">
        <v>85</v>
      </c>
      <c r="AN604" s="7" t="s">
        <v>2848</v>
      </c>
      <c r="AO604" s="12"/>
    </row>
    <row r="605" spans="1:41" s="11" customFormat="1" x14ac:dyDescent="0.25">
      <c r="A605" s="2">
        <v>604</v>
      </c>
      <c r="B605" s="7" t="s">
        <v>489</v>
      </c>
      <c r="C605" s="7" t="s">
        <v>100</v>
      </c>
      <c r="D605" s="7">
        <v>8</v>
      </c>
      <c r="E605" s="7">
        <v>8</v>
      </c>
      <c r="F605" s="8">
        <v>1</v>
      </c>
      <c r="G605" s="8">
        <v>1</v>
      </c>
      <c r="H605" s="7">
        <v>1</v>
      </c>
      <c r="I605" s="7">
        <v>1</v>
      </c>
      <c r="J605" s="9" t="s">
        <v>176</v>
      </c>
      <c r="K605" s="7">
        <v>2</v>
      </c>
      <c r="L605" s="7" t="s">
        <v>52</v>
      </c>
      <c r="M605" s="7">
        <f t="shared" si="43"/>
        <v>1</v>
      </c>
      <c r="N605" s="9" t="s">
        <v>177</v>
      </c>
      <c r="O605" s="7">
        <v>0</v>
      </c>
      <c r="P605" s="9" t="s">
        <v>63</v>
      </c>
      <c r="Q605" s="7" t="s">
        <v>38</v>
      </c>
      <c r="R605" s="7" t="s">
        <v>52</v>
      </c>
      <c r="S605" s="10" t="s">
        <v>1851</v>
      </c>
      <c r="T605" s="7"/>
      <c r="U605" s="7"/>
      <c r="V605" s="7"/>
      <c r="W605" s="7"/>
      <c r="X605" s="7">
        <v>3</v>
      </c>
      <c r="Y605" s="7"/>
      <c r="Z605" s="7"/>
      <c r="AA605" s="7"/>
      <c r="AB605" s="7">
        <f t="shared" si="45"/>
        <v>1</v>
      </c>
      <c r="AC605" s="7">
        <f t="shared" si="44"/>
        <v>1</v>
      </c>
      <c r="AD605" s="7"/>
      <c r="AE605" s="7"/>
      <c r="AF605" s="7"/>
      <c r="AG605" s="7"/>
      <c r="AH605" s="7"/>
      <c r="AI605" s="7"/>
      <c r="AJ605" s="7"/>
      <c r="AK605" s="7"/>
      <c r="AL605" s="9"/>
      <c r="AM605" s="7" t="s">
        <v>71</v>
      </c>
      <c r="AN605" s="7" t="s">
        <v>71</v>
      </c>
      <c r="AO605" s="12"/>
    </row>
    <row r="606" spans="1:41" s="11" customFormat="1" x14ac:dyDescent="0.25">
      <c r="A606" s="2">
        <v>605</v>
      </c>
      <c r="B606" s="7" t="s">
        <v>489</v>
      </c>
      <c r="C606" s="7" t="s">
        <v>100</v>
      </c>
      <c r="D606" s="7">
        <v>36</v>
      </c>
      <c r="E606" s="7">
        <v>36</v>
      </c>
      <c r="F606" s="8">
        <v>1</v>
      </c>
      <c r="G606" s="8">
        <v>1</v>
      </c>
      <c r="H606" s="7">
        <v>1</v>
      </c>
      <c r="I606" s="7">
        <v>1</v>
      </c>
      <c r="J606" s="9" t="s">
        <v>176</v>
      </c>
      <c r="K606" s="7">
        <v>8</v>
      </c>
      <c r="L606" s="7" t="s">
        <v>52</v>
      </c>
      <c r="M606" s="7">
        <f t="shared" si="43"/>
        <v>1</v>
      </c>
      <c r="N606" s="9" t="s">
        <v>177</v>
      </c>
      <c r="O606" s="7">
        <v>0</v>
      </c>
      <c r="P606" s="9" t="s">
        <v>63</v>
      </c>
      <c r="Q606" s="7" t="s">
        <v>38</v>
      </c>
      <c r="R606" s="7" t="s">
        <v>52</v>
      </c>
      <c r="S606" s="10" t="s">
        <v>1565</v>
      </c>
      <c r="T606" s="7"/>
      <c r="U606" s="7"/>
      <c r="V606" s="7"/>
      <c r="W606" s="7"/>
      <c r="X606" s="7">
        <v>3</v>
      </c>
      <c r="Y606" s="7"/>
      <c r="Z606" s="7"/>
      <c r="AA606" s="7"/>
      <c r="AB606" s="7">
        <f t="shared" si="45"/>
        <v>1</v>
      </c>
      <c r="AC606" s="7">
        <f t="shared" si="44"/>
        <v>1</v>
      </c>
      <c r="AD606" s="7"/>
      <c r="AE606" s="7"/>
      <c r="AF606" s="7"/>
      <c r="AG606" s="7"/>
      <c r="AH606" s="7"/>
      <c r="AI606" s="7"/>
      <c r="AJ606" s="7"/>
      <c r="AK606" s="7"/>
      <c r="AL606" s="9"/>
      <c r="AM606" s="7" t="s">
        <v>71</v>
      </c>
      <c r="AN606" s="7" t="s">
        <v>71</v>
      </c>
      <c r="AO606" s="12"/>
    </row>
    <row r="607" spans="1:41" s="11" customFormat="1" x14ac:dyDescent="0.25">
      <c r="A607" s="2">
        <v>606</v>
      </c>
      <c r="B607" s="7" t="s">
        <v>489</v>
      </c>
      <c r="C607" s="7" t="s">
        <v>100</v>
      </c>
      <c r="D607" s="7">
        <v>17</v>
      </c>
      <c r="E607" s="7">
        <v>17</v>
      </c>
      <c r="F607" s="8">
        <v>1</v>
      </c>
      <c r="G607" s="8">
        <v>1</v>
      </c>
      <c r="H607" s="7">
        <v>1</v>
      </c>
      <c r="I607" s="7">
        <v>1</v>
      </c>
      <c r="J607" s="9" t="s">
        <v>176</v>
      </c>
      <c r="K607" s="7">
        <v>8</v>
      </c>
      <c r="L607" s="7" t="s">
        <v>52</v>
      </c>
      <c r="M607" s="7">
        <f t="shared" si="43"/>
        <v>1</v>
      </c>
      <c r="N607" s="9" t="s">
        <v>177</v>
      </c>
      <c r="O607" s="7">
        <v>0</v>
      </c>
      <c r="P607" s="9" t="s">
        <v>63</v>
      </c>
      <c r="Q607" s="7" t="s">
        <v>38</v>
      </c>
      <c r="R607" s="7" t="s">
        <v>522</v>
      </c>
      <c r="S607" s="13" t="s">
        <v>1852</v>
      </c>
      <c r="T607" s="7"/>
      <c r="U607" s="7"/>
      <c r="V607" s="7"/>
      <c r="W607" s="7"/>
      <c r="X607" s="7">
        <v>3</v>
      </c>
      <c r="Y607" s="7"/>
      <c r="Z607" s="7"/>
      <c r="AA607" s="7"/>
      <c r="AB607" s="7">
        <f t="shared" si="45"/>
        <v>1</v>
      </c>
      <c r="AC607" s="7">
        <f t="shared" si="44"/>
        <v>1</v>
      </c>
      <c r="AD607" s="7"/>
      <c r="AE607" s="7"/>
      <c r="AF607" s="7"/>
      <c r="AG607" s="7"/>
      <c r="AH607" s="7"/>
      <c r="AI607" s="7"/>
      <c r="AJ607" s="7"/>
      <c r="AK607" s="7"/>
      <c r="AL607" s="9"/>
      <c r="AM607" s="7" t="s">
        <v>71</v>
      </c>
      <c r="AN607" s="7" t="s">
        <v>71</v>
      </c>
      <c r="AO607" s="12"/>
    </row>
    <row r="608" spans="1:41" s="11" customFormat="1" ht="24" x14ac:dyDescent="0.25">
      <c r="A608" s="2">
        <v>607</v>
      </c>
      <c r="B608" s="7" t="s">
        <v>523</v>
      </c>
      <c r="C608" s="7" t="s">
        <v>44</v>
      </c>
      <c r="D608" s="7" t="s">
        <v>524</v>
      </c>
      <c r="E608" s="7">
        <f>136+128+28+15</f>
        <v>307</v>
      </c>
      <c r="F608" s="8">
        <v>1</v>
      </c>
      <c r="G608" s="9" t="s">
        <v>384</v>
      </c>
      <c r="H608" s="7" t="s">
        <v>525</v>
      </c>
      <c r="I608" s="7">
        <v>6</v>
      </c>
      <c r="J608" s="9" t="s">
        <v>219</v>
      </c>
      <c r="K608" s="7">
        <v>5</v>
      </c>
      <c r="L608" s="7" t="s">
        <v>52</v>
      </c>
      <c r="M608" s="7">
        <f t="shared" si="43"/>
        <v>1</v>
      </c>
      <c r="N608" s="9" t="s">
        <v>34</v>
      </c>
      <c r="O608" s="7">
        <v>0</v>
      </c>
      <c r="P608" s="9" t="s">
        <v>34</v>
      </c>
      <c r="Q608" s="7" t="s">
        <v>38</v>
      </c>
      <c r="R608" s="7" t="s">
        <v>52</v>
      </c>
      <c r="S608" s="10" t="s">
        <v>1853</v>
      </c>
      <c r="T608" s="7">
        <v>11</v>
      </c>
      <c r="U608" s="7">
        <v>11</v>
      </c>
      <c r="V608" s="7">
        <v>380</v>
      </c>
      <c r="W608" s="7" t="s">
        <v>214</v>
      </c>
      <c r="X608" s="7"/>
      <c r="Y608" s="7">
        <v>20</v>
      </c>
      <c r="Z608" s="7">
        <v>20</v>
      </c>
      <c r="AA608" s="7">
        <v>190</v>
      </c>
      <c r="AB608" s="7">
        <f t="shared" si="45"/>
        <v>10.333333333333334</v>
      </c>
      <c r="AC608" s="7">
        <f t="shared" si="44"/>
        <v>10.333333333333334</v>
      </c>
      <c r="AD608" s="7"/>
      <c r="AE608" s="7"/>
      <c r="AF608" s="7"/>
      <c r="AG608" s="7"/>
      <c r="AH608" s="7"/>
      <c r="AI608" s="7"/>
      <c r="AJ608" s="7"/>
      <c r="AK608" s="7"/>
      <c r="AL608" s="9"/>
      <c r="AM608" s="7" t="s">
        <v>215</v>
      </c>
      <c r="AN608" s="7" t="s">
        <v>2850</v>
      </c>
      <c r="AO608" s="15" t="s">
        <v>2551</v>
      </c>
    </row>
    <row r="609" spans="1:41" s="11" customFormat="1" x14ac:dyDescent="0.25">
      <c r="A609" s="2">
        <v>608</v>
      </c>
      <c r="B609" s="7" t="s">
        <v>518</v>
      </c>
      <c r="C609" s="7" t="s">
        <v>100</v>
      </c>
      <c r="D609" s="7">
        <v>6</v>
      </c>
      <c r="E609" s="7">
        <v>6</v>
      </c>
      <c r="F609" s="8">
        <v>1</v>
      </c>
      <c r="G609" s="8">
        <v>1</v>
      </c>
      <c r="H609" s="7">
        <v>1</v>
      </c>
      <c r="I609" s="7">
        <v>1</v>
      </c>
      <c r="J609" s="9" t="s">
        <v>219</v>
      </c>
      <c r="K609" s="7">
        <v>5</v>
      </c>
      <c r="L609" s="7" t="s">
        <v>52</v>
      </c>
      <c r="M609" s="7">
        <f t="shared" si="43"/>
        <v>1</v>
      </c>
      <c r="N609" s="9" t="s">
        <v>34</v>
      </c>
      <c r="O609" s="7">
        <v>1</v>
      </c>
      <c r="P609" s="9" t="s">
        <v>63</v>
      </c>
      <c r="Q609" s="7" t="s">
        <v>38</v>
      </c>
      <c r="R609" s="7" t="s">
        <v>52</v>
      </c>
      <c r="S609" s="10" t="s">
        <v>1854</v>
      </c>
      <c r="T609" s="7"/>
      <c r="U609" s="7"/>
      <c r="V609" s="7"/>
      <c r="W609" s="7"/>
      <c r="X609" s="7">
        <v>3</v>
      </c>
      <c r="Y609" s="7"/>
      <c r="Z609" s="7"/>
      <c r="AA609" s="7"/>
      <c r="AB609" s="7">
        <f t="shared" si="45"/>
        <v>1</v>
      </c>
      <c r="AC609" s="7">
        <f t="shared" si="44"/>
        <v>1</v>
      </c>
      <c r="AD609" s="7"/>
      <c r="AE609" s="7"/>
      <c r="AF609" s="7"/>
      <c r="AG609" s="7"/>
      <c r="AH609" s="7"/>
      <c r="AI609" s="7"/>
      <c r="AJ609" s="7"/>
      <c r="AK609" s="7"/>
      <c r="AL609" s="9"/>
      <c r="AM609" s="7" t="s">
        <v>71</v>
      </c>
      <c r="AN609" s="7" t="s">
        <v>71</v>
      </c>
      <c r="AO609" s="12"/>
    </row>
    <row r="610" spans="1:41" s="11" customFormat="1" x14ac:dyDescent="0.25">
      <c r="A610" s="2">
        <v>609</v>
      </c>
      <c r="B610" s="7" t="s">
        <v>518</v>
      </c>
      <c r="C610" s="7" t="s">
        <v>100</v>
      </c>
      <c r="D610" s="7">
        <v>6</v>
      </c>
      <c r="E610" s="7">
        <v>6</v>
      </c>
      <c r="F610" s="8">
        <v>1</v>
      </c>
      <c r="G610" s="8">
        <v>1</v>
      </c>
      <c r="H610" s="7">
        <v>1</v>
      </c>
      <c r="I610" s="7">
        <v>1</v>
      </c>
      <c r="J610" s="9" t="s">
        <v>219</v>
      </c>
      <c r="K610" s="7">
        <v>6</v>
      </c>
      <c r="L610" s="7" t="s">
        <v>52</v>
      </c>
      <c r="M610" s="7">
        <f t="shared" si="43"/>
        <v>1</v>
      </c>
      <c r="N610" s="9" t="s">
        <v>34</v>
      </c>
      <c r="O610" s="7">
        <v>4</v>
      </c>
      <c r="P610" s="9" t="s">
        <v>33</v>
      </c>
      <c r="Q610" s="7" t="s">
        <v>38</v>
      </c>
      <c r="R610" s="7" t="s">
        <v>38</v>
      </c>
      <c r="S610" s="10" t="s">
        <v>1855</v>
      </c>
      <c r="T610" s="7"/>
      <c r="U610" s="7"/>
      <c r="V610" s="7"/>
      <c r="W610" s="7"/>
      <c r="X610" s="7">
        <v>3</v>
      </c>
      <c r="Y610" s="7"/>
      <c r="Z610" s="7"/>
      <c r="AA610" s="7"/>
      <c r="AB610" s="7">
        <f t="shared" si="45"/>
        <v>1</v>
      </c>
      <c r="AC610" s="7">
        <f t="shared" si="44"/>
        <v>1</v>
      </c>
      <c r="AD610" s="7"/>
      <c r="AE610" s="7"/>
      <c r="AF610" s="7"/>
      <c r="AG610" s="7"/>
      <c r="AH610" s="7"/>
      <c r="AI610" s="7"/>
      <c r="AJ610" s="7"/>
      <c r="AK610" s="7"/>
      <c r="AL610" s="9"/>
      <c r="AM610" s="7" t="s">
        <v>71</v>
      </c>
      <c r="AN610" s="7" t="s">
        <v>71</v>
      </c>
      <c r="AO610" s="12"/>
    </row>
    <row r="611" spans="1:41" s="11" customFormat="1" x14ac:dyDescent="0.25">
      <c r="A611" s="2">
        <v>610</v>
      </c>
      <c r="B611" s="7" t="s">
        <v>518</v>
      </c>
      <c r="C611" s="7" t="s">
        <v>50</v>
      </c>
      <c r="D611" s="7">
        <v>35</v>
      </c>
      <c r="E611" s="7">
        <v>35</v>
      </c>
      <c r="F611" s="8">
        <v>1</v>
      </c>
      <c r="G611" s="8">
        <v>1</v>
      </c>
      <c r="H611" s="7">
        <v>1</v>
      </c>
      <c r="I611" s="7">
        <v>1</v>
      </c>
      <c r="J611" s="7" t="s">
        <v>219</v>
      </c>
      <c r="K611" s="7">
        <v>13</v>
      </c>
      <c r="L611" s="7" t="s">
        <v>52</v>
      </c>
      <c r="M611" s="7">
        <f t="shared" si="43"/>
        <v>1</v>
      </c>
      <c r="N611" s="9" t="s">
        <v>34</v>
      </c>
      <c r="O611" s="7">
        <v>0</v>
      </c>
      <c r="P611" s="9" t="s">
        <v>63</v>
      </c>
      <c r="Q611" s="7" t="s">
        <v>38</v>
      </c>
      <c r="R611" s="7" t="s">
        <v>38</v>
      </c>
      <c r="S611" s="10" t="s">
        <v>1856</v>
      </c>
      <c r="T611" s="7"/>
      <c r="U611" s="7"/>
      <c r="V611" s="7"/>
      <c r="W611" s="7"/>
      <c r="X611" s="7"/>
      <c r="Y611" s="7">
        <v>8</v>
      </c>
      <c r="Z611" s="7">
        <v>8</v>
      </c>
      <c r="AA611" s="7">
        <v>130</v>
      </c>
      <c r="AB611" s="7">
        <f t="shared" si="45"/>
        <v>2.6666666666666665</v>
      </c>
      <c r="AC611" s="7">
        <f t="shared" si="44"/>
        <v>2.6666666666666665</v>
      </c>
      <c r="AD611" s="7"/>
      <c r="AE611" s="7"/>
      <c r="AF611" s="7"/>
      <c r="AG611" s="7"/>
      <c r="AH611" s="7"/>
      <c r="AI611" s="7" t="s">
        <v>526</v>
      </c>
      <c r="AJ611" s="7"/>
      <c r="AK611" s="7"/>
      <c r="AL611" s="9"/>
      <c r="AM611" s="7" t="s">
        <v>71</v>
      </c>
      <c r="AN611" s="7" t="s">
        <v>71</v>
      </c>
      <c r="AO611" s="12"/>
    </row>
    <row r="612" spans="1:41" s="11" customFormat="1" ht="72" x14ac:dyDescent="0.25">
      <c r="A612" s="2">
        <v>611</v>
      </c>
      <c r="B612" s="7" t="s">
        <v>527</v>
      </c>
      <c r="C612" s="7" t="s">
        <v>245</v>
      </c>
      <c r="D612" s="7" t="s">
        <v>528</v>
      </c>
      <c r="E612" s="7">
        <f>196+41</f>
        <v>237</v>
      </c>
      <c r="F612" s="8">
        <v>1</v>
      </c>
      <c r="G612" s="9" t="s">
        <v>293</v>
      </c>
      <c r="H612" s="7">
        <v>3</v>
      </c>
      <c r="I612" s="7">
        <v>3</v>
      </c>
      <c r="J612" s="9" t="s">
        <v>176</v>
      </c>
      <c r="K612" s="7">
        <v>3</v>
      </c>
      <c r="L612" s="7" t="s">
        <v>52</v>
      </c>
      <c r="M612" s="7">
        <f t="shared" si="43"/>
        <v>1</v>
      </c>
      <c r="N612" s="9" t="s">
        <v>109</v>
      </c>
      <c r="O612" s="7">
        <v>0</v>
      </c>
      <c r="P612" s="9" t="s">
        <v>63</v>
      </c>
      <c r="Q612" s="7" t="s">
        <v>38</v>
      </c>
      <c r="R612" s="7" t="s">
        <v>38</v>
      </c>
      <c r="S612" s="10" t="s">
        <v>1857</v>
      </c>
      <c r="T612" s="7">
        <v>12</v>
      </c>
      <c r="U612" s="7">
        <v>12</v>
      </c>
      <c r="V612" s="7">
        <v>210</v>
      </c>
      <c r="W612" s="7" t="s">
        <v>529</v>
      </c>
      <c r="X612" s="7"/>
      <c r="Y612" s="7"/>
      <c r="Z612" s="7"/>
      <c r="AA612" s="7"/>
      <c r="AB612" s="7">
        <f t="shared" si="45"/>
        <v>4</v>
      </c>
      <c r="AC612" s="7">
        <f t="shared" si="44"/>
        <v>4</v>
      </c>
      <c r="AD612" s="7"/>
      <c r="AE612" s="7">
        <v>1</v>
      </c>
      <c r="AF612" s="7" t="s">
        <v>155</v>
      </c>
      <c r="AG612" s="7" t="s">
        <v>133</v>
      </c>
      <c r="AH612" s="7"/>
      <c r="AI612" s="7"/>
      <c r="AJ612" s="7"/>
      <c r="AK612" s="7"/>
      <c r="AL612" s="9"/>
      <c r="AM612" s="7" t="s">
        <v>376</v>
      </c>
      <c r="AN612" s="7" t="s">
        <v>662</v>
      </c>
      <c r="AO612" s="12"/>
    </row>
    <row r="613" spans="1:41" s="11" customFormat="1" x14ac:dyDescent="0.25">
      <c r="A613" s="2">
        <v>612</v>
      </c>
      <c r="B613" s="7" t="s">
        <v>530</v>
      </c>
      <c r="C613" s="7" t="s">
        <v>100</v>
      </c>
      <c r="D613" s="7">
        <v>20</v>
      </c>
      <c r="E613" s="7">
        <v>20</v>
      </c>
      <c r="F613" s="8">
        <v>1</v>
      </c>
      <c r="G613" s="8">
        <v>1</v>
      </c>
      <c r="H613" s="7">
        <v>1</v>
      </c>
      <c r="I613" s="7">
        <v>1</v>
      </c>
      <c r="J613" s="9" t="s">
        <v>35</v>
      </c>
      <c r="K613" s="7">
        <v>1</v>
      </c>
      <c r="L613" s="7" t="s">
        <v>52</v>
      </c>
      <c r="M613" s="7">
        <f t="shared" si="43"/>
        <v>1</v>
      </c>
      <c r="N613" s="9" t="s">
        <v>34</v>
      </c>
      <c r="O613" s="7">
        <v>1</v>
      </c>
      <c r="P613" s="9" t="s">
        <v>33</v>
      </c>
      <c r="Q613" s="7" t="s">
        <v>38</v>
      </c>
      <c r="R613" s="7" t="s">
        <v>38</v>
      </c>
      <c r="S613" s="10" t="s">
        <v>1858</v>
      </c>
      <c r="T613" s="7"/>
      <c r="U613" s="7"/>
      <c r="V613" s="7"/>
      <c r="W613" s="7"/>
      <c r="X613" s="7">
        <v>3</v>
      </c>
      <c r="Y613" s="7"/>
      <c r="Z613" s="7"/>
      <c r="AA613" s="7"/>
      <c r="AB613" s="7">
        <f t="shared" si="45"/>
        <v>1</v>
      </c>
      <c r="AC613" s="7">
        <f t="shared" si="44"/>
        <v>1</v>
      </c>
      <c r="AD613" s="7"/>
      <c r="AE613" s="7"/>
      <c r="AF613" s="7"/>
      <c r="AG613" s="7"/>
      <c r="AH613" s="7"/>
      <c r="AI613" s="7"/>
      <c r="AJ613" s="7"/>
      <c r="AK613" s="10" t="s">
        <v>2448</v>
      </c>
      <c r="AL613" s="9"/>
      <c r="AM613" s="7" t="s">
        <v>71</v>
      </c>
      <c r="AN613" s="7" t="s">
        <v>71</v>
      </c>
      <c r="AO613" s="15"/>
    </row>
    <row r="614" spans="1:41" s="11" customFormat="1" ht="24" x14ac:dyDescent="0.25">
      <c r="A614" s="2">
        <v>613</v>
      </c>
      <c r="B614" s="7" t="s">
        <v>530</v>
      </c>
      <c r="C614" s="7" t="s">
        <v>531</v>
      </c>
      <c r="D614" s="7">
        <v>23</v>
      </c>
      <c r="E614" s="7">
        <v>23</v>
      </c>
      <c r="F614" s="8">
        <v>1</v>
      </c>
      <c r="G614" s="8">
        <v>1</v>
      </c>
      <c r="H614" s="7">
        <v>1</v>
      </c>
      <c r="I614" s="7">
        <v>1</v>
      </c>
      <c r="J614" s="9" t="s">
        <v>77</v>
      </c>
      <c r="K614" s="7">
        <v>1</v>
      </c>
      <c r="L614" s="7" t="s">
        <v>52</v>
      </c>
      <c r="M614" s="7">
        <f t="shared" si="43"/>
        <v>1</v>
      </c>
      <c r="N614" s="9" t="s">
        <v>34</v>
      </c>
      <c r="O614" s="7">
        <v>0</v>
      </c>
      <c r="P614" s="9" t="s">
        <v>63</v>
      </c>
      <c r="Q614" s="7" t="s">
        <v>38</v>
      </c>
      <c r="R614" s="7" t="s">
        <v>38</v>
      </c>
      <c r="S614" s="10" t="s">
        <v>1859</v>
      </c>
      <c r="T614" s="7">
        <v>10</v>
      </c>
      <c r="U614" s="7">
        <v>10</v>
      </c>
      <c r="V614" s="7">
        <v>90</v>
      </c>
      <c r="W614" s="7" t="s">
        <v>88</v>
      </c>
      <c r="X614" s="7">
        <v>5</v>
      </c>
      <c r="Y614" s="7"/>
      <c r="Z614" s="7"/>
      <c r="AA614" s="7"/>
      <c r="AB614" s="7">
        <f t="shared" si="45"/>
        <v>5</v>
      </c>
      <c r="AC614" s="7">
        <f t="shared" si="44"/>
        <v>5</v>
      </c>
      <c r="AD614" s="7">
        <v>1</v>
      </c>
      <c r="AE614" s="7"/>
      <c r="AF614" s="7" t="s">
        <v>40</v>
      </c>
      <c r="AG614" s="7" t="s">
        <v>532</v>
      </c>
      <c r="AH614" s="7"/>
      <c r="AI614" s="7"/>
      <c r="AJ614" s="7"/>
      <c r="AK614" s="7"/>
      <c r="AL614" s="9"/>
      <c r="AM614" s="7" t="s">
        <v>42</v>
      </c>
      <c r="AN614" s="7" t="s">
        <v>42</v>
      </c>
      <c r="AO614" s="15" t="s">
        <v>2552</v>
      </c>
    </row>
    <row r="615" spans="1:41" s="11" customFormat="1" ht="24" x14ac:dyDescent="0.25">
      <c r="A615" s="2">
        <v>614</v>
      </c>
      <c r="B615" s="7" t="s">
        <v>530</v>
      </c>
      <c r="C615" s="7" t="s">
        <v>107</v>
      </c>
      <c r="D615" s="7" t="s">
        <v>533</v>
      </c>
      <c r="E615" s="7">
        <v>37</v>
      </c>
      <c r="F615" s="8">
        <v>1</v>
      </c>
      <c r="G615" s="8">
        <v>2</v>
      </c>
      <c r="H615" s="7">
        <v>2</v>
      </c>
      <c r="I615" s="7">
        <v>2</v>
      </c>
      <c r="J615" s="9" t="s">
        <v>77</v>
      </c>
      <c r="K615" s="7">
        <v>1</v>
      </c>
      <c r="L615" s="7" t="s">
        <v>52</v>
      </c>
      <c r="M615" s="7">
        <f t="shared" si="43"/>
        <v>1</v>
      </c>
      <c r="N615" s="9" t="s">
        <v>36</v>
      </c>
      <c r="O615" s="7">
        <v>0</v>
      </c>
      <c r="P615" s="9" t="s">
        <v>63</v>
      </c>
      <c r="Q615" s="7" t="s">
        <v>38</v>
      </c>
      <c r="R615" s="7" t="s">
        <v>38</v>
      </c>
      <c r="S615" s="10" t="s">
        <v>1860</v>
      </c>
      <c r="T615" s="7"/>
      <c r="U615" s="7"/>
      <c r="V615" s="7"/>
      <c r="W615" s="7"/>
      <c r="X615" s="7">
        <v>5</v>
      </c>
      <c r="Y615" s="7">
        <v>15</v>
      </c>
      <c r="Z615" s="7">
        <v>15</v>
      </c>
      <c r="AA615" s="7">
        <v>80</v>
      </c>
      <c r="AB615" s="7">
        <f t="shared" si="45"/>
        <v>6.666666666666667</v>
      </c>
      <c r="AC615" s="7">
        <f t="shared" si="44"/>
        <v>6.666666666666667</v>
      </c>
      <c r="AD615" s="7"/>
      <c r="AE615" s="7">
        <v>1</v>
      </c>
      <c r="AF615" s="7" t="s">
        <v>40</v>
      </c>
      <c r="AG615" s="7" t="s">
        <v>534</v>
      </c>
      <c r="AH615" s="7"/>
      <c r="AI615" s="7"/>
      <c r="AJ615" s="10" t="s">
        <v>2354</v>
      </c>
      <c r="AK615" s="7"/>
      <c r="AL615" s="9"/>
      <c r="AM615" s="7" t="s">
        <v>42</v>
      </c>
      <c r="AN615" s="7" t="s">
        <v>42</v>
      </c>
      <c r="AO615" s="12"/>
    </row>
    <row r="616" spans="1:41" s="11" customFormat="1" x14ac:dyDescent="0.25">
      <c r="A616" s="2">
        <v>615</v>
      </c>
      <c r="B616" s="7" t="s">
        <v>530</v>
      </c>
      <c r="C616" s="7" t="s">
        <v>100</v>
      </c>
      <c r="D616" s="7">
        <v>14</v>
      </c>
      <c r="E616" s="7">
        <v>14</v>
      </c>
      <c r="F616" s="8">
        <v>1</v>
      </c>
      <c r="G616" s="8">
        <v>1</v>
      </c>
      <c r="H616" s="7">
        <v>1</v>
      </c>
      <c r="I616" s="7">
        <v>1</v>
      </c>
      <c r="J616" s="7" t="s">
        <v>1489</v>
      </c>
      <c r="K616" s="7">
        <v>1</v>
      </c>
      <c r="L616" s="7" t="s">
        <v>38</v>
      </c>
      <c r="M616" s="7">
        <f t="shared" si="43"/>
        <v>0</v>
      </c>
      <c r="N616" s="9" t="s">
        <v>82</v>
      </c>
      <c r="O616" s="7">
        <v>0</v>
      </c>
      <c r="P616" s="9" t="s">
        <v>36</v>
      </c>
      <c r="Q616" s="7" t="s">
        <v>38</v>
      </c>
      <c r="R616" s="7" t="s">
        <v>38</v>
      </c>
      <c r="S616" s="10" t="s">
        <v>1861</v>
      </c>
      <c r="T616" s="7"/>
      <c r="U616" s="7"/>
      <c r="V616" s="7"/>
      <c r="W616" s="7"/>
      <c r="X616" s="7">
        <v>5</v>
      </c>
      <c r="Y616" s="7"/>
      <c r="Z616" s="7"/>
      <c r="AA616" s="7"/>
      <c r="AB616" s="7">
        <f t="shared" si="45"/>
        <v>1.6666666666666667</v>
      </c>
      <c r="AC616" s="7">
        <f t="shared" si="44"/>
        <v>0</v>
      </c>
      <c r="AD616" s="7"/>
      <c r="AE616" s="7">
        <v>1</v>
      </c>
      <c r="AF616" s="7" t="s">
        <v>40</v>
      </c>
      <c r="AG616" s="7"/>
      <c r="AH616" s="7"/>
      <c r="AI616" s="7"/>
      <c r="AJ616" s="7"/>
      <c r="AK616" s="7"/>
      <c r="AL616" s="9"/>
      <c r="AM616" s="7" t="s">
        <v>42</v>
      </c>
      <c r="AN616" s="7" t="s">
        <v>42</v>
      </c>
      <c r="AO616" s="12"/>
    </row>
    <row r="617" spans="1:41" s="11" customFormat="1" ht="24" x14ac:dyDescent="0.25">
      <c r="A617" s="2">
        <v>616</v>
      </c>
      <c r="B617" s="7" t="s">
        <v>530</v>
      </c>
      <c r="C617" s="7" t="s">
        <v>78</v>
      </c>
      <c r="D617" s="7">
        <v>5</v>
      </c>
      <c r="E617" s="7">
        <v>5</v>
      </c>
      <c r="F617" s="8">
        <v>1</v>
      </c>
      <c r="G617" s="8">
        <v>1</v>
      </c>
      <c r="H617" s="7">
        <v>1</v>
      </c>
      <c r="I617" s="7">
        <v>1</v>
      </c>
      <c r="J617" s="9" t="s">
        <v>35</v>
      </c>
      <c r="K617" s="7">
        <v>1</v>
      </c>
      <c r="L617" s="7" t="s">
        <v>52</v>
      </c>
      <c r="M617" s="7">
        <f t="shared" si="43"/>
        <v>1</v>
      </c>
      <c r="N617" s="9" t="s">
        <v>34</v>
      </c>
      <c r="O617" s="7">
        <v>0</v>
      </c>
      <c r="P617" s="9" t="s">
        <v>36</v>
      </c>
      <c r="Q617" s="7" t="s">
        <v>38</v>
      </c>
      <c r="R617" s="7" t="s">
        <v>38</v>
      </c>
      <c r="S617" s="10" t="s">
        <v>1862</v>
      </c>
      <c r="T617" s="7">
        <v>5</v>
      </c>
      <c r="U617" s="7">
        <v>5</v>
      </c>
      <c r="V617" s="7">
        <v>150</v>
      </c>
      <c r="W617" s="7" t="s">
        <v>83</v>
      </c>
      <c r="X617" s="7"/>
      <c r="Y617" s="7"/>
      <c r="Z617" s="7"/>
      <c r="AA617" s="7"/>
      <c r="AB617" s="7">
        <f t="shared" si="45"/>
        <v>1.6666666666666667</v>
      </c>
      <c r="AC617" s="7">
        <f t="shared" si="44"/>
        <v>1.6666666666666667</v>
      </c>
      <c r="AD617" s="7"/>
      <c r="AE617" s="7"/>
      <c r="AF617" s="7"/>
      <c r="AG617" s="7"/>
      <c r="AH617" s="7"/>
      <c r="AI617" s="7"/>
      <c r="AJ617" s="10" t="s">
        <v>361</v>
      </c>
      <c r="AK617" s="7"/>
      <c r="AL617" s="9"/>
      <c r="AM617" s="7" t="s">
        <v>42</v>
      </c>
      <c r="AN617" s="7" t="s">
        <v>42</v>
      </c>
      <c r="AO617" s="12"/>
    </row>
    <row r="618" spans="1:41" s="11" customFormat="1" x14ac:dyDescent="0.25">
      <c r="A618" s="2">
        <v>617</v>
      </c>
      <c r="B618" s="7" t="s">
        <v>530</v>
      </c>
      <c r="C618" s="7" t="s">
        <v>119</v>
      </c>
      <c r="D618" s="7">
        <v>6</v>
      </c>
      <c r="E618" s="7">
        <v>6</v>
      </c>
      <c r="F618" s="8">
        <v>1</v>
      </c>
      <c r="G618" s="8">
        <v>1</v>
      </c>
      <c r="H618" s="7">
        <v>1</v>
      </c>
      <c r="I618" s="7">
        <v>1</v>
      </c>
      <c r="J618" s="9" t="s">
        <v>35</v>
      </c>
      <c r="K618" s="7">
        <v>2</v>
      </c>
      <c r="L618" s="7" t="s">
        <v>52</v>
      </c>
      <c r="M618" s="7">
        <f t="shared" si="43"/>
        <v>1</v>
      </c>
      <c r="N618" s="9" t="s">
        <v>34</v>
      </c>
      <c r="O618" s="7">
        <v>0</v>
      </c>
      <c r="P618" s="9" t="s">
        <v>63</v>
      </c>
      <c r="Q618" s="7"/>
      <c r="R618" s="7" t="s">
        <v>38</v>
      </c>
      <c r="S618" s="10" t="s">
        <v>1524</v>
      </c>
      <c r="T618" s="7"/>
      <c r="U618" s="7"/>
      <c r="V618" s="7"/>
      <c r="W618" s="7"/>
      <c r="X618" s="7"/>
      <c r="Y618" s="7"/>
      <c r="Z618" s="7"/>
      <c r="AA618" s="7"/>
      <c r="AB618" s="7">
        <v>0.33333333333333298</v>
      </c>
      <c r="AC618" s="7">
        <f t="shared" si="44"/>
        <v>0.33333333333333298</v>
      </c>
      <c r="AD618" s="7">
        <v>1</v>
      </c>
      <c r="AE618" s="7"/>
      <c r="AF618" s="7" t="s">
        <v>40</v>
      </c>
      <c r="AG618" s="7" t="s">
        <v>162</v>
      </c>
      <c r="AH618" s="7"/>
      <c r="AI618" s="7"/>
      <c r="AJ618" s="7"/>
      <c r="AK618" s="7"/>
      <c r="AL618" s="9"/>
      <c r="AM618" s="7" t="s">
        <v>71</v>
      </c>
      <c r="AN618" s="7" t="s">
        <v>71</v>
      </c>
      <c r="AO618" s="12"/>
    </row>
    <row r="619" spans="1:41" s="11" customFormat="1" x14ac:dyDescent="0.25">
      <c r="A619" s="2">
        <v>618</v>
      </c>
      <c r="B619" s="7" t="s">
        <v>530</v>
      </c>
      <c r="C619" s="7" t="s">
        <v>78</v>
      </c>
      <c r="D619" s="7">
        <v>1</v>
      </c>
      <c r="E619" s="7">
        <v>1</v>
      </c>
      <c r="F619" s="8">
        <v>1</v>
      </c>
      <c r="G619" s="8">
        <v>1</v>
      </c>
      <c r="H619" s="7">
        <v>1</v>
      </c>
      <c r="I619" s="7">
        <v>1</v>
      </c>
      <c r="J619" s="9" t="s">
        <v>70</v>
      </c>
      <c r="K619" s="7">
        <v>1</v>
      </c>
      <c r="L619" s="7" t="s">
        <v>52</v>
      </c>
      <c r="M619" s="7">
        <f t="shared" si="43"/>
        <v>1</v>
      </c>
      <c r="N619" s="9" t="s">
        <v>34</v>
      </c>
      <c r="O619" s="7">
        <v>0</v>
      </c>
      <c r="P619" s="9" t="s">
        <v>63</v>
      </c>
      <c r="Q619" s="7" t="s">
        <v>38</v>
      </c>
      <c r="R619" s="7" t="s">
        <v>38</v>
      </c>
      <c r="S619" s="7"/>
      <c r="T619" s="7">
        <v>6</v>
      </c>
      <c r="U619" s="7">
        <v>6</v>
      </c>
      <c r="V619" s="7">
        <v>80</v>
      </c>
      <c r="W619" s="7" t="s">
        <v>88</v>
      </c>
      <c r="X619" s="7"/>
      <c r="Y619" s="7"/>
      <c r="Z619" s="7"/>
      <c r="AA619" s="7"/>
      <c r="AB619" s="7">
        <f t="shared" ref="AB619:AB626" si="46">(U619+X619+Z619)/3</f>
        <v>2</v>
      </c>
      <c r="AC619" s="7">
        <f t="shared" si="44"/>
        <v>2</v>
      </c>
      <c r="AD619" s="7"/>
      <c r="AE619" s="7"/>
      <c r="AF619" s="7"/>
      <c r="AG619" s="7"/>
      <c r="AH619" s="7"/>
      <c r="AI619" s="7"/>
      <c r="AJ619" s="7"/>
      <c r="AK619" s="7"/>
      <c r="AL619" s="9"/>
      <c r="AM619" s="7" t="s">
        <v>42</v>
      </c>
      <c r="AN619" s="7" t="s">
        <v>42</v>
      </c>
      <c r="AO619" s="12"/>
    </row>
    <row r="620" spans="1:41" s="11" customFormat="1" x14ac:dyDescent="0.25">
      <c r="A620" s="2">
        <v>619</v>
      </c>
      <c r="B620" s="7" t="s">
        <v>530</v>
      </c>
      <c r="C620" s="7" t="s">
        <v>100</v>
      </c>
      <c r="D620" s="7">
        <v>3</v>
      </c>
      <c r="E620" s="7">
        <v>3</v>
      </c>
      <c r="F620" s="8">
        <v>1</v>
      </c>
      <c r="G620" s="8">
        <v>1</v>
      </c>
      <c r="H620" s="7">
        <v>1</v>
      </c>
      <c r="I620" s="7">
        <v>1</v>
      </c>
      <c r="J620" s="9" t="s">
        <v>35</v>
      </c>
      <c r="K620" s="7">
        <v>2</v>
      </c>
      <c r="L620" s="7" t="s">
        <v>52</v>
      </c>
      <c r="M620" s="7">
        <f t="shared" si="43"/>
        <v>1</v>
      </c>
      <c r="N620" s="9" t="s">
        <v>34</v>
      </c>
      <c r="O620" s="7">
        <v>1</v>
      </c>
      <c r="P620" s="9" t="s">
        <v>33</v>
      </c>
      <c r="Q620" s="7" t="s">
        <v>38</v>
      </c>
      <c r="R620" s="7" t="s">
        <v>38</v>
      </c>
      <c r="S620" s="7"/>
      <c r="T620" s="7"/>
      <c r="U620" s="7"/>
      <c r="V620" s="7"/>
      <c r="W620" s="7"/>
      <c r="X620" s="7">
        <v>3</v>
      </c>
      <c r="Y620" s="7"/>
      <c r="Z620" s="7"/>
      <c r="AA620" s="7"/>
      <c r="AB620" s="7">
        <f t="shared" si="46"/>
        <v>1</v>
      </c>
      <c r="AC620" s="7">
        <f t="shared" si="44"/>
        <v>1</v>
      </c>
      <c r="AD620" s="7"/>
      <c r="AE620" s="7"/>
      <c r="AF620" s="7"/>
      <c r="AG620" s="7"/>
      <c r="AH620" s="7"/>
      <c r="AI620" s="7"/>
      <c r="AJ620" s="7"/>
      <c r="AK620" s="7"/>
      <c r="AL620" s="9"/>
      <c r="AM620" s="7" t="s">
        <v>71</v>
      </c>
      <c r="AN620" s="7" t="s">
        <v>71</v>
      </c>
      <c r="AO620" s="12"/>
    </row>
    <row r="621" spans="1:41" s="11" customFormat="1" x14ac:dyDescent="0.25">
      <c r="A621" s="2">
        <v>620</v>
      </c>
      <c r="B621" s="7" t="s">
        <v>530</v>
      </c>
      <c r="C621" s="7" t="s">
        <v>100</v>
      </c>
      <c r="D621" s="7">
        <v>2</v>
      </c>
      <c r="E621" s="7">
        <v>2</v>
      </c>
      <c r="F621" s="8">
        <v>1</v>
      </c>
      <c r="G621" s="8">
        <v>1</v>
      </c>
      <c r="H621" s="7">
        <v>1</v>
      </c>
      <c r="I621" s="7">
        <v>1</v>
      </c>
      <c r="J621" s="9" t="s">
        <v>35</v>
      </c>
      <c r="K621" s="7">
        <v>2</v>
      </c>
      <c r="L621" s="7" t="s">
        <v>52</v>
      </c>
      <c r="M621" s="7">
        <f t="shared" si="43"/>
        <v>1</v>
      </c>
      <c r="N621" s="9" t="s">
        <v>36</v>
      </c>
      <c r="O621" s="7">
        <v>0</v>
      </c>
      <c r="P621" s="9" t="s">
        <v>33</v>
      </c>
      <c r="Q621" s="7" t="s">
        <v>38</v>
      </c>
      <c r="R621" s="7" t="s">
        <v>38</v>
      </c>
      <c r="S621" s="7"/>
      <c r="T621" s="7"/>
      <c r="U621" s="7"/>
      <c r="V621" s="7"/>
      <c r="W621" s="7"/>
      <c r="X621" s="7">
        <v>3</v>
      </c>
      <c r="Y621" s="7"/>
      <c r="Z621" s="7"/>
      <c r="AA621" s="7"/>
      <c r="AB621" s="7">
        <f t="shared" si="46"/>
        <v>1</v>
      </c>
      <c r="AC621" s="7">
        <f t="shared" si="44"/>
        <v>1</v>
      </c>
      <c r="AD621" s="7"/>
      <c r="AE621" s="7"/>
      <c r="AF621" s="7"/>
      <c r="AG621" s="7"/>
      <c r="AH621" s="7"/>
      <c r="AI621" s="7"/>
      <c r="AJ621" s="7"/>
      <c r="AK621" s="7"/>
      <c r="AL621" s="9"/>
      <c r="AM621" s="7" t="s">
        <v>71</v>
      </c>
      <c r="AN621" s="7" t="s">
        <v>71</v>
      </c>
      <c r="AO621" s="12"/>
    </row>
    <row r="622" spans="1:41" s="11" customFormat="1" x14ac:dyDescent="0.25">
      <c r="A622" s="2">
        <v>621</v>
      </c>
      <c r="B622" s="7" t="s">
        <v>530</v>
      </c>
      <c r="C622" s="7" t="s">
        <v>100</v>
      </c>
      <c r="D622" s="7">
        <v>4</v>
      </c>
      <c r="E622" s="7">
        <v>4</v>
      </c>
      <c r="F622" s="8">
        <v>1</v>
      </c>
      <c r="G622" s="8">
        <v>1</v>
      </c>
      <c r="H622" s="7">
        <v>1</v>
      </c>
      <c r="I622" s="7">
        <v>1</v>
      </c>
      <c r="J622" s="9" t="s">
        <v>35</v>
      </c>
      <c r="K622" s="7">
        <v>1</v>
      </c>
      <c r="L622" s="7" t="s">
        <v>52</v>
      </c>
      <c r="M622" s="7">
        <f t="shared" si="43"/>
        <v>1</v>
      </c>
      <c r="N622" s="9" t="s">
        <v>34</v>
      </c>
      <c r="O622" s="7">
        <v>0</v>
      </c>
      <c r="P622" s="9" t="s">
        <v>63</v>
      </c>
      <c r="Q622" s="7" t="s">
        <v>52</v>
      </c>
      <c r="R622" s="7" t="s">
        <v>38</v>
      </c>
      <c r="S622" s="7"/>
      <c r="T622" s="7"/>
      <c r="U622" s="7"/>
      <c r="V622" s="7"/>
      <c r="W622" s="7"/>
      <c r="X622" s="7">
        <v>3</v>
      </c>
      <c r="Y622" s="7"/>
      <c r="Z622" s="7"/>
      <c r="AA622" s="7"/>
      <c r="AB622" s="7">
        <f t="shared" si="46"/>
        <v>1</v>
      </c>
      <c r="AC622" s="7">
        <f t="shared" si="44"/>
        <v>1</v>
      </c>
      <c r="AD622" s="7"/>
      <c r="AE622" s="7"/>
      <c r="AF622" s="7"/>
      <c r="AG622" s="7"/>
      <c r="AH622" s="7"/>
      <c r="AI622" s="7"/>
      <c r="AJ622" s="7"/>
      <c r="AK622" s="7"/>
      <c r="AL622" s="9"/>
      <c r="AM622" s="7" t="s">
        <v>71</v>
      </c>
      <c r="AN622" s="7" t="s">
        <v>71</v>
      </c>
      <c r="AO622" s="12"/>
    </row>
    <row r="623" spans="1:41" s="11" customFormat="1" x14ac:dyDescent="0.25">
      <c r="A623" s="2">
        <v>622</v>
      </c>
      <c r="B623" s="7" t="s">
        <v>530</v>
      </c>
      <c r="C623" s="7" t="s">
        <v>100</v>
      </c>
      <c r="D623" s="7">
        <v>17</v>
      </c>
      <c r="E623" s="7">
        <v>17</v>
      </c>
      <c r="F623" s="8">
        <v>1</v>
      </c>
      <c r="G623" s="8">
        <v>1</v>
      </c>
      <c r="H623" s="7">
        <v>1</v>
      </c>
      <c r="I623" s="7">
        <v>1</v>
      </c>
      <c r="J623" s="9" t="s">
        <v>35</v>
      </c>
      <c r="K623" s="7">
        <v>1</v>
      </c>
      <c r="L623" s="7" t="s">
        <v>52</v>
      </c>
      <c r="M623" s="7">
        <f t="shared" si="43"/>
        <v>1</v>
      </c>
      <c r="N623" s="9" t="s">
        <v>36</v>
      </c>
      <c r="O623" s="7">
        <v>0</v>
      </c>
      <c r="P623" s="9" t="s">
        <v>63</v>
      </c>
      <c r="Q623" s="7" t="s">
        <v>52</v>
      </c>
      <c r="R623" s="7" t="s">
        <v>38</v>
      </c>
      <c r="S623" s="10" t="s">
        <v>1863</v>
      </c>
      <c r="T623" s="7"/>
      <c r="U623" s="7"/>
      <c r="V623" s="7"/>
      <c r="W623" s="7"/>
      <c r="X623" s="7">
        <v>3</v>
      </c>
      <c r="Y623" s="7"/>
      <c r="Z623" s="7"/>
      <c r="AA623" s="7"/>
      <c r="AB623" s="7">
        <f t="shared" si="46"/>
        <v>1</v>
      </c>
      <c r="AC623" s="7">
        <f t="shared" si="44"/>
        <v>1</v>
      </c>
      <c r="AD623" s="7"/>
      <c r="AE623" s="7"/>
      <c r="AF623" s="7"/>
      <c r="AG623" s="7"/>
      <c r="AH623" s="7"/>
      <c r="AI623" s="7"/>
      <c r="AJ623" s="7"/>
      <c r="AK623" s="7"/>
      <c r="AL623" s="9"/>
      <c r="AM623" s="7" t="s">
        <v>71</v>
      </c>
      <c r="AN623" s="7" t="s">
        <v>71</v>
      </c>
      <c r="AO623" s="12"/>
    </row>
    <row r="624" spans="1:41" s="11" customFormat="1" x14ac:dyDescent="0.25">
      <c r="A624" s="2">
        <v>623</v>
      </c>
      <c r="B624" s="7" t="s">
        <v>530</v>
      </c>
      <c r="C624" s="7" t="s">
        <v>100</v>
      </c>
      <c r="D624" s="7" t="s">
        <v>442</v>
      </c>
      <c r="E624" s="7">
        <v>10</v>
      </c>
      <c r="F624" s="8">
        <v>2</v>
      </c>
      <c r="G624" s="8">
        <v>2</v>
      </c>
      <c r="H624" s="7" t="s">
        <v>87</v>
      </c>
      <c r="I624" s="7">
        <v>2</v>
      </c>
      <c r="J624" s="9" t="s">
        <v>35</v>
      </c>
      <c r="K624" s="7">
        <v>2</v>
      </c>
      <c r="L624" s="7" t="s">
        <v>52</v>
      </c>
      <c r="M624" s="7">
        <f t="shared" si="43"/>
        <v>2</v>
      </c>
      <c r="N624" s="9" t="s">
        <v>36</v>
      </c>
      <c r="O624" s="7">
        <v>0</v>
      </c>
      <c r="P624" s="9" t="s">
        <v>33</v>
      </c>
      <c r="Q624" s="7" t="s">
        <v>52</v>
      </c>
      <c r="R624" s="7" t="s">
        <v>38</v>
      </c>
      <c r="S624" s="10" t="s">
        <v>1864</v>
      </c>
      <c r="T624" s="7"/>
      <c r="U624" s="7"/>
      <c r="V624" s="7"/>
      <c r="W624" s="7"/>
      <c r="X624" s="7">
        <v>3</v>
      </c>
      <c r="Y624" s="7"/>
      <c r="Z624" s="7"/>
      <c r="AA624" s="7"/>
      <c r="AB624" s="7">
        <f t="shared" si="46"/>
        <v>1</v>
      </c>
      <c r="AC624" s="7">
        <f t="shared" si="44"/>
        <v>1</v>
      </c>
      <c r="AD624" s="7"/>
      <c r="AE624" s="7"/>
      <c r="AF624" s="7"/>
      <c r="AG624" s="7"/>
      <c r="AH624" s="7"/>
      <c r="AI624" s="7"/>
      <c r="AJ624" s="7"/>
      <c r="AK624" s="7"/>
      <c r="AL624" s="9"/>
      <c r="AM624" s="7" t="s">
        <v>71</v>
      </c>
      <c r="AN624" s="7" t="s">
        <v>71</v>
      </c>
      <c r="AO624" s="12"/>
    </row>
    <row r="625" spans="1:41" s="11" customFormat="1" x14ac:dyDescent="0.25">
      <c r="A625" s="2">
        <v>624</v>
      </c>
      <c r="B625" s="7" t="s">
        <v>530</v>
      </c>
      <c r="C625" s="7" t="s">
        <v>100</v>
      </c>
      <c r="D625" s="7">
        <v>54</v>
      </c>
      <c r="E625" s="7">
        <v>54</v>
      </c>
      <c r="F625" s="8">
        <v>1</v>
      </c>
      <c r="G625" s="8">
        <v>1</v>
      </c>
      <c r="H625" s="7">
        <v>1</v>
      </c>
      <c r="I625" s="7">
        <v>1</v>
      </c>
      <c r="J625" s="9" t="s">
        <v>219</v>
      </c>
      <c r="K625" s="7">
        <v>1</v>
      </c>
      <c r="L625" s="7" t="s">
        <v>52</v>
      </c>
      <c r="M625" s="7">
        <f t="shared" si="43"/>
        <v>1</v>
      </c>
      <c r="N625" s="9" t="s">
        <v>82</v>
      </c>
      <c r="O625" s="7">
        <v>0</v>
      </c>
      <c r="P625" s="9" t="s">
        <v>36</v>
      </c>
      <c r="Q625" s="7" t="s">
        <v>38</v>
      </c>
      <c r="R625" s="7" t="s">
        <v>38</v>
      </c>
      <c r="S625" s="10" t="s">
        <v>1865</v>
      </c>
      <c r="T625" s="7"/>
      <c r="U625" s="7"/>
      <c r="V625" s="7"/>
      <c r="W625" s="7"/>
      <c r="X625" s="7">
        <v>3</v>
      </c>
      <c r="Y625" s="7"/>
      <c r="Z625" s="7"/>
      <c r="AA625" s="7"/>
      <c r="AB625" s="7">
        <f t="shared" si="46"/>
        <v>1</v>
      </c>
      <c r="AC625" s="7">
        <f t="shared" si="44"/>
        <v>1</v>
      </c>
      <c r="AD625" s="7"/>
      <c r="AE625" s="7"/>
      <c r="AF625" s="7"/>
      <c r="AG625" s="7"/>
      <c r="AH625" s="7"/>
      <c r="AI625" s="7"/>
      <c r="AJ625" s="7"/>
      <c r="AK625" s="7"/>
      <c r="AL625" s="9"/>
      <c r="AM625" s="7" t="s">
        <v>71</v>
      </c>
      <c r="AN625" s="7" t="s">
        <v>71</v>
      </c>
      <c r="AO625" s="12"/>
    </row>
    <row r="626" spans="1:41" s="11" customFormat="1" ht="24" x14ac:dyDescent="0.25">
      <c r="A626" s="2">
        <v>625</v>
      </c>
      <c r="B626" s="7" t="s">
        <v>535</v>
      </c>
      <c r="C626" s="7" t="s">
        <v>237</v>
      </c>
      <c r="D626" s="7" t="s">
        <v>536</v>
      </c>
      <c r="E626" s="7">
        <f>48+33+34+10</f>
        <v>125</v>
      </c>
      <c r="F626" s="8">
        <v>1</v>
      </c>
      <c r="G626" s="9" t="s">
        <v>203</v>
      </c>
      <c r="H626" s="7" t="s">
        <v>98</v>
      </c>
      <c r="I626" s="7">
        <v>6</v>
      </c>
      <c r="J626" s="9" t="s">
        <v>176</v>
      </c>
      <c r="K626" s="7">
        <v>2</v>
      </c>
      <c r="L626" s="7" t="s">
        <v>52</v>
      </c>
      <c r="M626" s="7">
        <f t="shared" si="43"/>
        <v>1</v>
      </c>
      <c r="N626" s="9" t="s">
        <v>177</v>
      </c>
      <c r="O626" s="7">
        <v>0</v>
      </c>
      <c r="P626" s="9" t="s">
        <v>63</v>
      </c>
      <c r="Q626" s="7" t="s">
        <v>38</v>
      </c>
      <c r="R626" s="7" t="s">
        <v>52</v>
      </c>
      <c r="S626" s="10" t="s">
        <v>1866</v>
      </c>
      <c r="T626" s="7" t="s">
        <v>537</v>
      </c>
      <c r="U626" s="7">
        <v>27</v>
      </c>
      <c r="V626" s="7">
        <v>210</v>
      </c>
      <c r="W626" s="7" t="s">
        <v>79</v>
      </c>
      <c r="X626" s="7">
        <v>5</v>
      </c>
      <c r="Y626" s="7"/>
      <c r="Z626" s="7"/>
      <c r="AA626" s="7"/>
      <c r="AB626" s="7">
        <f t="shared" si="46"/>
        <v>10.666666666666666</v>
      </c>
      <c r="AC626" s="7">
        <f t="shared" si="44"/>
        <v>10.666666666666666</v>
      </c>
      <c r="AD626" s="7">
        <v>1</v>
      </c>
      <c r="AE626" s="7"/>
      <c r="AF626" s="7" t="s">
        <v>155</v>
      </c>
      <c r="AG626" s="7" t="s">
        <v>538</v>
      </c>
      <c r="AH626" s="7"/>
      <c r="AI626" s="7"/>
      <c r="AJ626" s="10" t="s">
        <v>2355</v>
      </c>
      <c r="AK626" s="7"/>
      <c r="AL626" s="9"/>
      <c r="AM626" s="7" t="s">
        <v>539</v>
      </c>
      <c r="AN626" s="7" t="s">
        <v>2850</v>
      </c>
      <c r="AO626" s="12"/>
    </row>
    <row r="627" spans="1:41" s="11" customFormat="1" x14ac:dyDescent="0.25">
      <c r="A627" s="2">
        <v>626</v>
      </c>
      <c r="B627" s="7" t="s">
        <v>540</v>
      </c>
      <c r="C627" s="7" t="s">
        <v>119</v>
      </c>
      <c r="D627" s="7">
        <v>2</v>
      </c>
      <c r="E627" s="7">
        <v>2</v>
      </c>
      <c r="F627" s="8">
        <v>1</v>
      </c>
      <c r="G627" s="8">
        <v>1</v>
      </c>
      <c r="H627" s="7">
        <v>1</v>
      </c>
      <c r="I627" s="7">
        <v>1</v>
      </c>
      <c r="J627" s="9" t="s">
        <v>35</v>
      </c>
      <c r="K627" s="7">
        <v>1</v>
      </c>
      <c r="L627" s="7" t="s">
        <v>52</v>
      </c>
      <c r="M627" s="7">
        <f t="shared" si="43"/>
        <v>1</v>
      </c>
      <c r="N627" s="9" t="s">
        <v>36</v>
      </c>
      <c r="O627" s="7">
        <v>0</v>
      </c>
      <c r="P627" s="9" t="s">
        <v>63</v>
      </c>
      <c r="Q627" s="7"/>
      <c r="R627" s="7" t="s">
        <v>38</v>
      </c>
      <c r="S627" s="7"/>
      <c r="T627" s="7"/>
      <c r="U627" s="7"/>
      <c r="V627" s="7"/>
      <c r="W627" s="7"/>
      <c r="X627" s="7"/>
      <c r="Y627" s="7"/>
      <c r="Z627" s="7"/>
      <c r="AA627" s="7"/>
      <c r="AB627" s="7">
        <v>0.33333333333333298</v>
      </c>
      <c r="AC627" s="7">
        <f t="shared" si="44"/>
        <v>0.33333333333333298</v>
      </c>
      <c r="AD627" s="7">
        <v>1</v>
      </c>
      <c r="AE627" s="7"/>
      <c r="AF627" s="7" t="s">
        <v>40</v>
      </c>
      <c r="AG627" s="7" t="s">
        <v>407</v>
      </c>
      <c r="AH627" s="7"/>
      <c r="AI627" s="7"/>
      <c r="AJ627" s="7"/>
      <c r="AK627" s="7"/>
      <c r="AL627" s="9"/>
      <c r="AM627" s="7" t="s">
        <v>71</v>
      </c>
      <c r="AN627" s="7" t="s">
        <v>71</v>
      </c>
      <c r="AO627" s="12"/>
    </row>
    <row r="628" spans="1:41" s="11" customFormat="1" x14ac:dyDescent="0.25">
      <c r="A628" s="2">
        <v>627</v>
      </c>
      <c r="B628" s="7" t="s">
        <v>540</v>
      </c>
      <c r="C628" s="7" t="s">
        <v>119</v>
      </c>
      <c r="D628" s="7">
        <v>2</v>
      </c>
      <c r="E628" s="7">
        <v>2</v>
      </c>
      <c r="F628" s="8">
        <v>1</v>
      </c>
      <c r="G628" s="8">
        <v>1</v>
      </c>
      <c r="H628" s="7">
        <v>1</v>
      </c>
      <c r="I628" s="7">
        <v>1</v>
      </c>
      <c r="J628" s="9" t="s">
        <v>77</v>
      </c>
      <c r="K628" s="7">
        <v>1</v>
      </c>
      <c r="L628" s="7" t="s">
        <v>38</v>
      </c>
      <c r="M628" s="7">
        <f t="shared" si="43"/>
        <v>0</v>
      </c>
      <c r="N628" s="9" t="s">
        <v>36</v>
      </c>
      <c r="O628" s="7">
        <v>0</v>
      </c>
      <c r="P628" s="9" t="s">
        <v>37</v>
      </c>
      <c r="Q628" s="7"/>
      <c r="R628" s="7" t="s">
        <v>38</v>
      </c>
      <c r="S628" s="7"/>
      <c r="T628" s="7"/>
      <c r="U628" s="7"/>
      <c r="V628" s="7"/>
      <c r="W628" s="7"/>
      <c r="X628" s="7"/>
      <c r="Y628" s="7"/>
      <c r="Z628" s="7"/>
      <c r="AA628" s="7"/>
      <c r="AB628" s="7">
        <v>0.33333333333333298</v>
      </c>
      <c r="AC628" s="7">
        <f t="shared" si="44"/>
        <v>0</v>
      </c>
      <c r="AD628" s="7">
        <v>1</v>
      </c>
      <c r="AE628" s="7"/>
      <c r="AF628" s="7" t="s">
        <v>40</v>
      </c>
      <c r="AG628" s="7" t="s">
        <v>476</v>
      </c>
      <c r="AH628" s="7"/>
      <c r="AI628" s="7"/>
      <c r="AJ628" s="7"/>
      <c r="AK628" s="7"/>
      <c r="AL628" s="9"/>
      <c r="AM628" s="7" t="s">
        <v>71</v>
      </c>
      <c r="AN628" s="7" t="s">
        <v>71</v>
      </c>
      <c r="AO628" s="12"/>
    </row>
    <row r="629" spans="1:41" s="11" customFormat="1" x14ac:dyDescent="0.25">
      <c r="A629" s="2">
        <v>628</v>
      </c>
      <c r="B629" s="7" t="s">
        <v>540</v>
      </c>
      <c r="C629" s="7" t="s">
        <v>89</v>
      </c>
      <c r="D629" s="7" t="s">
        <v>196</v>
      </c>
      <c r="E629" s="7">
        <v>2</v>
      </c>
      <c r="F629" s="8">
        <v>2</v>
      </c>
      <c r="G629" s="8">
        <v>2</v>
      </c>
      <c r="H629" s="7" t="s">
        <v>87</v>
      </c>
      <c r="I629" s="7">
        <v>2</v>
      </c>
      <c r="J629" s="9" t="s">
        <v>35</v>
      </c>
      <c r="K629" s="7">
        <v>2</v>
      </c>
      <c r="L629" s="7" t="s">
        <v>52</v>
      </c>
      <c r="M629" s="7">
        <f t="shared" si="43"/>
        <v>2</v>
      </c>
      <c r="N629" s="9" t="s">
        <v>34</v>
      </c>
      <c r="O629" s="7">
        <v>0</v>
      </c>
      <c r="P629" s="9" t="s">
        <v>63</v>
      </c>
      <c r="Q629" s="7" t="s">
        <v>38</v>
      </c>
      <c r="R629" s="7" t="s">
        <v>38</v>
      </c>
      <c r="S629" s="10" t="s">
        <v>1867</v>
      </c>
      <c r="T629" s="7"/>
      <c r="U629" s="7"/>
      <c r="V629" s="7"/>
      <c r="W629" s="7"/>
      <c r="X629" s="7">
        <v>3</v>
      </c>
      <c r="Y629" s="7"/>
      <c r="Z629" s="7"/>
      <c r="AA629" s="7"/>
      <c r="AB629" s="7">
        <f t="shared" ref="AB629:AB667" si="47">(U629+X629+Z629)/3</f>
        <v>1</v>
      </c>
      <c r="AC629" s="7">
        <f t="shared" si="44"/>
        <v>1</v>
      </c>
      <c r="AD629" s="7"/>
      <c r="AE629" s="7"/>
      <c r="AF629" s="7"/>
      <c r="AG629" s="7"/>
      <c r="AH629" s="7"/>
      <c r="AI629" s="7"/>
      <c r="AJ629" s="7"/>
      <c r="AK629" s="7"/>
      <c r="AL629" s="9"/>
      <c r="AM629" s="7" t="s">
        <v>71</v>
      </c>
      <c r="AN629" s="7" t="s">
        <v>71</v>
      </c>
      <c r="AO629" s="12"/>
    </row>
    <row r="630" spans="1:41" s="11" customFormat="1" x14ac:dyDescent="0.25">
      <c r="A630" s="2">
        <v>629</v>
      </c>
      <c r="B630" s="7" t="s">
        <v>540</v>
      </c>
      <c r="C630" s="7" t="s">
        <v>100</v>
      </c>
      <c r="D630" s="7">
        <v>4</v>
      </c>
      <c r="E630" s="7">
        <v>4</v>
      </c>
      <c r="F630" s="8">
        <v>1</v>
      </c>
      <c r="G630" s="8">
        <v>1</v>
      </c>
      <c r="H630" s="7">
        <v>1</v>
      </c>
      <c r="I630" s="7">
        <v>1</v>
      </c>
      <c r="J630" s="9" t="s">
        <v>176</v>
      </c>
      <c r="K630" s="7">
        <v>1</v>
      </c>
      <c r="L630" s="7" t="s">
        <v>52</v>
      </c>
      <c r="M630" s="7">
        <f t="shared" si="43"/>
        <v>1</v>
      </c>
      <c r="N630" s="9" t="s">
        <v>177</v>
      </c>
      <c r="O630" s="7">
        <v>0</v>
      </c>
      <c r="P630" s="9" t="s">
        <v>63</v>
      </c>
      <c r="Q630" s="7" t="s">
        <v>38</v>
      </c>
      <c r="R630" s="7" t="s">
        <v>38</v>
      </c>
      <c r="S630" s="10" t="s">
        <v>1868</v>
      </c>
      <c r="T630" s="7"/>
      <c r="U630" s="7"/>
      <c r="V630" s="7"/>
      <c r="W630" s="7"/>
      <c r="X630" s="7">
        <v>3</v>
      </c>
      <c r="Y630" s="7"/>
      <c r="Z630" s="7"/>
      <c r="AA630" s="7"/>
      <c r="AB630" s="7">
        <f t="shared" si="47"/>
        <v>1</v>
      </c>
      <c r="AC630" s="7">
        <f t="shared" si="44"/>
        <v>1</v>
      </c>
      <c r="AD630" s="7"/>
      <c r="AE630" s="7"/>
      <c r="AF630" s="7"/>
      <c r="AG630" s="7"/>
      <c r="AH630" s="7"/>
      <c r="AI630" s="7"/>
      <c r="AJ630" s="7"/>
      <c r="AK630" s="10" t="s">
        <v>2449</v>
      </c>
      <c r="AL630" s="9"/>
      <c r="AM630" s="7" t="s">
        <v>71</v>
      </c>
      <c r="AN630" s="7" t="s">
        <v>71</v>
      </c>
      <c r="AO630" s="12"/>
    </row>
    <row r="631" spans="1:41" s="11" customFormat="1" x14ac:dyDescent="0.25">
      <c r="A631" s="2">
        <v>630</v>
      </c>
      <c r="B631" s="7" t="s">
        <v>540</v>
      </c>
      <c r="C631" s="7" t="s">
        <v>89</v>
      </c>
      <c r="D631" s="7" t="s">
        <v>124</v>
      </c>
      <c r="E631" s="7">
        <v>4</v>
      </c>
      <c r="F631" s="8">
        <v>1</v>
      </c>
      <c r="G631" s="8">
        <v>2</v>
      </c>
      <c r="H631" s="7">
        <v>2</v>
      </c>
      <c r="I631" s="7">
        <v>2</v>
      </c>
      <c r="J631" s="9" t="s">
        <v>176</v>
      </c>
      <c r="K631" s="9" t="s">
        <v>268</v>
      </c>
      <c r="L631" s="7" t="s">
        <v>52</v>
      </c>
      <c r="M631" s="7">
        <f t="shared" si="43"/>
        <v>1</v>
      </c>
      <c r="N631" s="9" t="s">
        <v>177</v>
      </c>
      <c r="O631" s="7">
        <v>0</v>
      </c>
      <c r="P631" s="9" t="s">
        <v>63</v>
      </c>
      <c r="Q631" s="9" t="s">
        <v>38</v>
      </c>
      <c r="R631" s="9" t="s">
        <v>52</v>
      </c>
      <c r="S631" s="10" t="s">
        <v>209</v>
      </c>
      <c r="T631" s="7"/>
      <c r="U631" s="7"/>
      <c r="V631" s="7"/>
      <c r="W631" s="7"/>
      <c r="X631" s="7">
        <v>3</v>
      </c>
      <c r="Y631" s="7"/>
      <c r="Z631" s="7"/>
      <c r="AA631" s="7"/>
      <c r="AB631" s="7">
        <f t="shared" si="47"/>
        <v>1</v>
      </c>
      <c r="AC631" s="7">
        <f t="shared" si="44"/>
        <v>1</v>
      </c>
      <c r="AD631" s="7"/>
      <c r="AE631" s="7"/>
      <c r="AF631" s="7"/>
      <c r="AG631" s="7"/>
      <c r="AH631" s="7"/>
      <c r="AI631" s="7"/>
      <c r="AJ631" s="7"/>
      <c r="AK631" s="7"/>
      <c r="AL631" s="9"/>
      <c r="AM631" s="7" t="s">
        <v>71</v>
      </c>
      <c r="AN631" s="7" t="s">
        <v>71</v>
      </c>
      <c r="AO631" s="12"/>
    </row>
    <row r="632" spans="1:41" s="11" customFormat="1" x14ac:dyDescent="0.25">
      <c r="A632" s="2">
        <v>631</v>
      </c>
      <c r="B632" s="7" t="s">
        <v>540</v>
      </c>
      <c r="C632" s="7" t="s">
        <v>100</v>
      </c>
      <c r="D632" s="7">
        <v>5</v>
      </c>
      <c r="E632" s="7">
        <v>5</v>
      </c>
      <c r="F632" s="8">
        <v>1</v>
      </c>
      <c r="G632" s="8">
        <v>1</v>
      </c>
      <c r="H632" s="7">
        <v>1</v>
      </c>
      <c r="I632" s="7">
        <v>1</v>
      </c>
      <c r="J632" s="9" t="s">
        <v>219</v>
      </c>
      <c r="K632" s="7">
        <v>6</v>
      </c>
      <c r="L632" s="7" t="s">
        <v>52</v>
      </c>
      <c r="M632" s="7">
        <f t="shared" si="43"/>
        <v>1</v>
      </c>
      <c r="N632" s="9" t="s">
        <v>34</v>
      </c>
      <c r="O632" s="7">
        <v>2</v>
      </c>
      <c r="P632" s="9" t="s">
        <v>37</v>
      </c>
      <c r="Q632" s="7" t="s">
        <v>38</v>
      </c>
      <c r="R632" s="7" t="s">
        <v>38</v>
      </c>
      <c r="S632" s="7"/>
      <c r="T632" s="7"/>
      <c r="U632" s="7"/>
      <c r="V632" s="7"/>
      <c r="W632" s="7"/>
      <c r="X632" s="7">
        <v>3</v>
      </c>
      <c r="Y632" s="7"/>
      <c r="Z632" s="7"/>
      <c r="AA632" s="7"/>
      <c r="AB632" s="7">
        <f t="shared" si="47"/>
        <v>1</v>
      </c>
      <c r="AC632" s="7">
        <f t="shared" si="44"/>
        <v>1</v>
      </c>
      <c r="AD632" s="7"/>
      <c r="AE632" s="7"/>
      <c r="AF632" s="7"/>
      <c r="AG632" s="7"/>
      <c r="AH632" s="7"/>
      <c r="AI632" s="7"/>
      <c r="AJ632" s="7"/>
      <c r="AK632" s="7"/>
      <c r="AL632" s="9"/>
      <c r="AM632" s="7" t="s">
        <v>71</v>
      </c>
      <c r="AN632" s="7" t="s">
        <v>71</v>
      </c>
      <c r="AO632" s="12"/>
    </row>
    <row r="633" spans="1:41" s="11" customFormat="1" x14ac:dyDescent="0.25">
      <c r="A633" s="2">
        <v>632</v>
      </c>
      <c r="B633" s="7" t="s">
        <v>540</v>
      </c>
      <c r="C633" s="7" t="s">
        <v>100</v>
      </c>
      <c r="D633" s="7">
        <v>6</v>
      </c>
      <c r="E633" s="7">
        <v>6</v>
      </c>
      <c r="F633" s="8">
        <v>1</v>
      </c>
      <c r="G633" s="8">
        <v>1</v>
      </c>
      <c r="H633" s="7">
        <v>1</v>
      </c>
      <c r="I633" s="7">
        <v>1</v>
      </c>
      <c r="J633" s="9" t="s">
        <v>219</v>
      </c>
      <c r="K633" s="7">
        <v>1</v>
      </c>
      <c r="L633" s="7" t="s">
        <v>52</v>
      </c>
      <c r="M633" s="7">
        <f t="shared" si="43"/>
        <v>1</v>
      </c>
      <c r="N633" s="9" t="s">
        <v>34</v>
      </c>
      <c r="O633" s="7">
        <v>0</v>
      </c>
      <c r="P633" s="9" t="s">
        <v>36</v>
      </c>
      <c r="Q633" s="7" t="s">
        <v>38</v>
      </c>
      <c r="R633" s="7" t="s">
        <v>38</v>
      </c>
      <c r="S633" s="7"/>
      <c r="T633" s="7"/>
      <c r="U633" s="7"/>
      <c r="V633" s="7"/>
      <c r="W633" s="7"/>
      <c r="X633" s="7">
        <v>3</v>
      </c>
      <c r="Y633" s="7"/>
      <c r="Z633" s="7"/>
      <c r="AA633" s="7"/>
      <c r="AB633" s="7">
        <f t="shared" si="47"/>
        <v>1</v>
      </c>
      <c r="AC633" s="7">
        <f t="shared" si="44"/>
        <v>1</v>
      </c>
      <c r="AD633" s="7"/>
      <c r="AE633" s="7"/>
      <c r="AF633" s="7"/>
      <c r="AG633" s="7"/>
      <c r="AH633" s="7"/>
      <c r="AI633" s="7"/>
      <c r="AJ633" s="7"/>
      <c r="AK633" s="7"/>
      <c r="AL633" s="9"/>
      <c r="AM633" s="7" t="s">
        <v>71</v>
      </c>
      <c r="AN633" s="7" t="s">
        <v>71</v>
      </c>
      <c r="AO633" s="12"/>
    </row>
    <row r="634" spans="1:41" s="11" customFormat="1" x14ac:dyDescent="0.25">
      <c r="A634" s="2">
        <v>633</v>
      </c>
      <c r="B634" s="7" t="s">
        <v>540</v>
      </c>
      <c r="C634" s="7" t="s">
        <v>100</v>
      </c>
      <c r="D634" s="7">
        <v>20</v>
      </c>
      <c r="E634" s="7">
        <v>20</v>
      </c>
      <c r="F634" s="8">
        <v>1</v>
      </c>
      <c r="G634" s="8">
        <v>2</v>
      </c>
      <c r="H634" s="7">
        <v>2</v>
      </c>
      <c r="I634" s="7">
        <v>2</v>
      </c>
      <c r="J634" s="9" t="s">
        <v>219</v>
      </c>
      <c r="K634" s="7">
        <v>1</v>
      </c>
      <c r="L634" s="7" t="s">
        <v>52</v>
      </c>
      <c r="M634" s="7">
        <f t="shared" si="43"/>
        <v>1</v>
      </c>
      <c r="N634" s="9" t="s">
        <v>34</v>
      </c>
      <c r="O634" s="7">
        <v>0</v>
      </c>
      <c r="P634" s="9" t="s">
        <v>63</v>
      </c>
      <c r="Q634" s="7" t="s">
        <v>52</v>
      </c>
      <c r="R634" s="7" t="s">
        <v>38</v>
      </c>
      <c r="S634" s="7"/>
      <c r="T634" s="7"/>
      <c r="U634" s="7"/>
      <c r="V634" s="7"/>
      <c r="W634" s="7"/>
      <c r="X634" s="7">
        <v>3</v>
      </c>
      <c r="Y634" s="7"/>
      <c r="Z634" s="7"/>
      <c r="AA634" s="7"/>
      <c r="AB634" s="7">
        <f t="shared" si="47"/>
        <v>1</v>
      </c>
      <c r="AC634" s="7">
        <f t="shared" si="44"/>
        <v>1</v>
      </c>
      <c r="AD634" s="7"/>
      <c r="AE634" s="7"/>
      <c r="AF634" s="7"/>
      <c r="AG634" s="7"/>
      <c r="AH634" s="7"/>
      <c r="AI634" s="7"/>
      <c r="AJ634" s="7"/>
      <c r="AK634" s="7"/>
      <c r="AL634" s="9"/>
      <c r="AM634" s="7" t="s">
        <v>71</v>
      </c>
      <c r="AN634" s="7" t="s">
        <v>71</v>
      </c>
      <c r="AO634" s="12"/>
    </row>
    <row r="635" spans="1:41" s="11" customFormat="1" x14ac:dyDescent="0.25">
      <c r="A635" s="2">
        <v>634</v>
      </c>
      <c r="B635" s="7" t="s">
        <v>540</v>
      </c>
      <c r="C635" s="7" t="s">
        <v>50</v>
      </c>
      <c r="D635" s="7" t="s">
        <v>541</v>
      </c>
      <c r="E635" s="7">
        <f>59+28</f>
        <v>87</v>
      </c>
      <c r="F635" s="8">
        <v>1</v>
      </c>
      <c r="G635" s="8">
        <v>2</v>
      </c>
      <c r="H635" s="7">
        <v>2</v>
      </c>
      <c r="I635" s="7">
        <v>2</v>
      </c>
      <c r="J635" s="9" t="s">
        <v>219</v>
      </c>
      <c r="K635" s="7">
        <v>14</v>
      </c>
      <c r="L635" s="7" t="s">
        <v>52</v>
      </c>
      <c r="M635" s="7">
        <f t="shared" si="43"/>
        <v>1</v>
      </c>
      <c r="N635" s="9" t="s">
        <v>34</v>
      </c>
      <c r="O635" s="7">
        <v>0</v>
      </c>
      <c r="P635" s="9" t="s">
        <v>34</v>
      </c>
      <c r="Q635" s="7" t="s">
        <v>38</v>
      </c>
      <c r="R635" s="7" t="s">
        <v>38</v>
      </c>
      <c r="S635" s="10" t="s">
        <v>1869</v>
      </c>
      <c r="T635" s="7"/>
      <c r="U635" s="7"/>
      <c r="V635" s="7"/>
      <c r="W635" s="7"/>
      <c r="X635" s="7"/>
      <c r="Y635" s="7">
        <v>20</v>
      </c>
      <c r="Z635" s="7">
        <v>20</v>
      </c>
      <c r="AA635" s="7" t="s">
        <v>542</v>
      </c>
      <c r="AB635" s="7">
        <f t="shared" si="47"/>
        <v>6.666666666666667</v>
      </c>
      <c r="AC635" s="7">
        <f t="shared" si="44"/>
        <v>6.666666666666667</v>
      </c>
      <c r="AD635" s="7"/>
      <c r="AE635" s="7"/>
      <c r="AF635" s="7"/>
      <c r="AG635" s="7"/>
      <c r="AH635" s="7"/>
      <c r="AI635" s="7"/>
      <c r="AJ635" s="7"/>
      <c r="AK635" s="7"/>
      <c r="AL635" s="9"/>
      <c r="AM635" s="7" t="s">
        <v>71</v>
      </c>
      <c r="AN635" s="7" t="s">
        <v>71</v>
      </c>
      <c r="AO635" s="7"/>
    </row>
    <row r="636" spans="1:41" s="11" customFormat="1" x14ac:dyDescent="0.25">
      <c r="A636" s="2">
        <v>635</v>
      </c>
      <c r="B636" s="7" t="s">
        <v>543</v>
      </c>
      <c r="C636" s="7" t="s">
        <v>100</v>
      </c>
      <c r="D636" s="7">
        <v>12</v>
      </c>
      <c r="E636" s="7">
        <v>12</v>
      </c>
      <c r="F636" s="8">
        <v>1</v>
      </c>
      <c r="G636" s="8">
        <v>1</v>
      </c>
      <c r="H636" s="7">
        <v>1</v>
      </c>
      <c r="I636" s="7">
        <v>1</v>
      </c>
      <c r="J636" s="9" t="s">
        <v>35</v>
      </c>
      <c r="K636" s="7">
        <v>2</v>
      </c>
      <c r="L636" s="7" t="s">
        <v>52</v>
      </c>
      <c r="M636" s="7">
        <f t="shared" si="43"/>
        <v>1</v>
      </c>
      <c r="N636" s="9" t="s">
        <v>34</v>
      </c>
      <c r="O636" s="7">
        <v>2</v>
      </c>
      <c r="P636" s="9" t="s">
        <v>33</v>
      </c>
      <c r="Q636" s="7" t="s">
        <v>38</v>
      </c>
      <c r="R636" s="7" t="s">
        <v>38</v>
      </c>
      <c r="S636" s="10" t="s">
        <v>1870</v>
      </c>
      <c r="T636" s="7"/>
      <c r="U636" s="7"/>
      <c r="V636" s="7"/>
      <c r="W636" s="7"/>
      <c r="X636" s="7">
        <v>3</v>
      </c>
      <c r="Y636" s="7"/>
      <c r="Z636" s="7"/>
      <c r="AA636" s="7"/>
      <c r="AB636" s="7">
        <f t="shared" si="47"/>
        <v>1</v>
      </c>
      <c r="AC636" s="7">
        <f t="shared" si="44"/>
        <v>1</v>
      </c>
      <c r="AD636" s="7"/>
      <c r="AE636" s="7"/>
      <c r="AF636" s="7"/>
      <c r="AG636" s="7"/>
      <c r="AH636" s="7"/>
      <c r="AI636" s="7"/>
      <c r="AJ636" s="7"/>
      <c r="AK636" s="7"/>
      <c r="AL636" s="9"/>
      <c r="AM636" s="7" t="s">
        <v>71</v>
      </c>
      <c r="AN636" s="7" t="s">
        <v>71</v>
      </c>
      <c r="AO636" s="12"/>
    </row>
    <row r="637" spans="1:41" s="11" customFormat="1" ht="24" x14ac:dyDescent="0.25">
      <c r="A637" s="2">
        <v>636</v>
      </c>
      <c r="B637" s="7" t="s">
        <v>543</v>
      </c>
      <c r="C637" s="7" t="s">
        <v>78</v>
      </c>
      <c r="D637" s="7">
        <v>6</v>
      </c>
      <c r="E637" s="7">
        <v>6</v>
      </c>
      <c r="F637" s="8">
        <v>1</v>
      </c>
      <c r="G637" s="8">
        <v>1</v>
      </c>
      <c r="H637" s="7">
        <v>1</v>
      </c>
      <c r="I637" s="7">
        <v>1</v>
      </c>
      <c r="J637" s="9" t="s">
        <v>35</v>
      </c>
      <c r="K637" s="7">
        <v>2</v>
      </c>
      <c r="L637" s="7" t="s">
        <v>52</v>
      </c>
      <c r="M637" s="7">
        <f t="shared" si="43"/>
        <v>1</v>
      </c>
      <c r="N637" s="9" t="s">
        <v>34</v>
      </c>
      <c r="O637" s="7">
        <v>0</v>
      </c>
      <c r="P637" s="9" t="s">
        <v>63</v>
      </c>
      <c r="Q637" s="7" t="s">
        <v>38</v>
      </c>
      <c r="R637" s="7" t="s">
        <v>38</v>
      </c>
      <c r="S637" s="10" t="s">
        <v>1871</v>
      </c>
      <c r="T637" s="7">
        <v>8</v>
      </c>
      <c r="U637" s="7">
        <v>8</v>
      </c>
      <c r="V637" s="7">
        <v>160</v>
      </c>
      <c r="W637" s="7" t="s">
        <v>328</v>
      </c>
      <c r="X637" s="7"/>
      <c r="Y637" s="7"/>
      <c r="Z637" s="7"/>
      <c r="AA637" s="7"/>
      <c r="AB637" s="7">
        <f t="shared" si="47"/>
        <v>2.6666666666666665</v>
      </c>
      <c r="AC637" s="7">
        <f t="shared" si="44"/>
        <v>2.6666666666666665</v>
      </c>
      <c r="AD637" s="7"/>
      <c r="AE637" s="7"/>
      <c r="AF637" s="7"/>
      <c r="AG637" s="7"/>
      <c r="AH637" s="7"/>
      <c r="AI637" s="7"/>
      <c r="AJ637" s="7"/>
      <c r="AK637" s="7"/>
      <c r="AL637" s="9"/>
      <c r="AM637" s="7" t="s">
        <v>71</v>
      </c>
      <c r="AN637" s="7" t="s">
        <v>71</v>
      </c>
      <c r="AO637" s="12"/>
    </row>
    <row r="638" spans="1:41" s="11" customFormat="1" x14ac:dyDescent="0.25">
      <c r="A638" s="2">
        <v>637</v>
      </c>
      <c r="B638" s="7" t="s">
        <v>544</v>
      </c>
      <c r="C638" s="7" t="s">
        <v>89</v>
      </c>
      <c r="D638" s="7">
        <v>45</v>
      </c>
      <c r="E638" s="7">
        <v>45</v>
      </c>
      <c r="F638" s="8">
        <v>1</v>
      </c>
      <c r="G638" s="8">
        <v>3</v>
      </c>
      <c r="H638" s="7">
        <v>3</v>
      </c>
      <c r="I638" s="7">
        <v>3</v>
      </c>
      <c r="J638" s="9" t="s">
        <v>219</v>
      </c>
      <c r="K638" s="7">
        <v>1</v>
      </c>
      <c r="L638" s="7" t="s">
        <v>52</v>
      </c>
      <c r="M638" s="7">
        <f t="shared" si="43"/>
        <v>1</v>
      </c>
      <c r="N638" s="9" t="s">
        <v>34</v>
      </c>
      <c r="O638" s="7">
        <v>2</v>
      </c>
      <c r="P638" s="9" t="s">
        <v>63</v>
      </c>
      <c r="Q638" s="7" t="s">
        <v>38</v>
      </c>
      <c r="R638" s="7" t="s">
        <v>38</v>
      </c>
      <c r="S638" s="10" t="s">
        <v>1872</v>
      </c>
      <c r="T638" s="7"/>
      <c r="U638" s="7"/>
      <c r="V638" s="7"/>
      <c r="W638" s="7"/>
      <c r="X638" s="7">
        <v>3</v>
      </c>
      <c r="Y638" s="7"/>
      <c r="Z638" s="7"/>
      <c r="AA638" s="7"/>
      <c r="AB638" s="7">
        <f t="shared" si="47"/>
        <v>1</v>
      </c>
      <c r="AC638" s="7">
        <f t="shared" si="44"/>
        <v>1</v>
      </c>
      <c r="AD638" s="7"/>
      <c r="AE638" s="7"/>
      <c r="AF638" s="7"/>
      <c r="AG638" s="7"/>
      <c r="AH638" s="7"/>
      <c r="AI638" s="7"/>
      <c r="AJ638" s="7"/>
      <c r="AK638" s="7"/>
      <c r="AL638" s="9"/>
      <c r="AM638" s="7" t="s">
        <v>71</v>
      </c>
      <c r="AN638" s="7" t="s">
        <v>71</v>
      </c>
      <c r="AO638" s="12"/>
    </row>
    <row r="639" spans="1:41" s="11" customFormat="1" x14ac:dyDescent="0.25">
      <c r="A639" s="2">
        <v>638</v>
      </c>
      <c r="B639" s="7" t="s">
        <v>544</v>
      </c>
      <c r="C639" s="7" t="s">
        <v>100</v>
      </c>
      <c r="D639" s="7">
        <v>6</v>
      </c>
      <c r="E639" s="7">
        <v>6</v>
      </c>
      <c r="F639" s="8">
        <v>1</v>
      </c>
      <c r="G639" s="8">
        <v>1</v>
      </c>
      <c r="H639" s="7">
        <v>1</v>
      </c>
      <c r="I639" s="7">
        <v>1</v>
      </c>
      <c r="J639" s="9" t="s">
        <v>77</v>
      </c>
      <c r="K639" s="7">
        <v>1</v>
      </c>
      <c r="L639" s="7" t="s">
        <v>38</v>
      </c>
      <c r="M639" s="7">
        <f t="shared" si="43"/>
        <v>0</v>
      </c>
      <c r="N639" s="9" t="s">
        <v>34</v>
      </c>
      <c r="O639" s="7">
        <v>0</v>
      </c>
      <c r="P639" s="9" t="s">
        <v>34</v>
      </c>
      <c r="Q639" s="7" t="s">
        <v>38</v>
      </c>
      <c r="R639" s="7" t="s">
        <v>38</v>
      </c>
      <c r="S639" s="10" t="s">
        <v>1828</v>
      </c>
      <c r="T639" s="7"/>
      <c r="U639" s="7"/>
      <c r="V639" s="7"/>
      <c r="W639" s="7"/>
      <c r="X639" s="7">
        <v>3</v>
      </c>
      <c r="Y639" s="7"/>
      <c r="Z639" s="7"/>
      <c r="AA639" s="7"/>
      <c r="AB639" s="7">
        <f t="shared" si="47"/>
        <v>1</v>
      </c>
      <c r="AC639" s="7">
        <f t="shared" si="44"/>
        <v>0</v>
      </c>
      <c r="AD639" s="7"/>
      <c r="AE639" s="7"/>
      <c r="AF639" s="7"/>
      <c r="AG639" s="7"/>
      <c r="AH639" s="7"/>
      <c r="AI639" s="7"/>
      <c r="AJ639" s="7"/>
      <c r="AK639" s="10" t="s">
        <v>2430</v>
      </c>
      <c r="AL639" s="9"/>
      <c r="AM639" s="7" t="s">
        <v>71</v>
      </c>
      <c r="AN639" s="7" t="s">
        <v>71</v>
      </c>
      <c r="AO639" s="12"/>
    </row>
    <row r="640" spans="1:41" s="11" customFormat="1" ht="36" x14ac:dyDescent="0.25">
      <c r="A640" s="2">
        <v>639</v>
      </c>
      <c r="B640" s="7" t="s">
        <v>544</v>
      </c>
      <c r="C640" s="7" t="s">
        <v>100</v>
      </c>
      <c r="D640" s="7">
        <v>26</v>
      </c>
      <c r="E640" s="7">
        <v>26</v>
      </c>
      <c r="F640" s="8">
        <v>1</v>
      </c>
      <c r="G640" s="8">
        <v>1</v>
      </c>
      <c r="H640" s="7">
        <v>1</v>
      </c>
      <c r="I640" s="7">
        <v>1</v>
      </c>
      <c r="J640" s="9" t="s">
        <v>176</v>
      </c>
      <c r="K640" s="7"/>
      <c r="L640" s="7" t="s">
        <v>52</v>
      </c>
      <c r="M640" s="7">
        <f t="shared" si="43"/>
        <v>1</v>
      </c>
      <c r="N640" s="9" t="s">
        <v>177</v>
      </c>
      <c r="O640" s="7">
        <v>0</v>
      </c>
      <c r="P640" s="9" t="s">
        <v>63</v>
      </c>
      <c r="Q640" s="7" t="s">
        <v>38</v>
      </c>
      <c r="R640" s="7" t="s">
        <v>52</v>
      </c>
      <c r="S640" s="10" t="s">
        <v>1873</v>
      </c>
      <c r="T640" s="7"/>
      <c r="U640" s="7"/>
      <c r="V640" s="7"/>
      <c r="W640" s="7"/>
      <c r="X640" s="7">
        <v>3</v>
      </c>
      <c r="Y640" s="7"/>
      <c r="Z640" s="7"/>
      <c r="AA640" s="7"/>
      <c r="AB640" s="7">
        <f t="shared" si="47"/>
        <v>1</v>
      </c>
      <c r="AC640" s="7">
        <f t="shared" si="44"/>
        <v>1</v>
      </c>
      <c r="AD640" s="7"/>
      <c r="AE640" s="7"/>
      <c r="AF640" s="7"/>
      <c r="AG640" s="7"/>
      <c r="AH640" s="7"/>
      <c r="AI640" s="7"/>
      <c r="AJ640" s="10" t="s">
        <v>2356</v>
      </c>
      <c r="AK640" s="7"/>
      <c r="AL640" s="9"/>
      <c r="AM640" s="7" t="s">
        <v>71</v>
      </c>
      <c r="AN640" s="7" t="s">
        <v>71</v>
      </c>
      <c r="AO640" s="15" t="s">
        <v>2553</v>
      </c>
    </row>
    <row r="641" spans="1:41" s="11" customFormat="1" x14ac:dyDescent="0.25">
      <c r="A641" s="2">
        <v>640</v>
      </c>
      <c r="B641" s="7" t="s">
        <v>545</v>
      </c>
      <c r="C641" s="7" t="s">
        <v>78</v>
      </c>
      <c r="D641" s="7" t="s">
        <v>146</v>
      </c>
      <c r="E641" s="7">
        <v>5</v>
      </c>
      <c r="F641" s="8">
        <v>1</v>
      </c>
      <c r="G641" s="8">
        <v>2</v>
      </c>
      <c r="H641" s="7" t="s">
        <v>87</v>
      </c>
      <c r="I641" s="7">
        <v>2</v>
      </c>
      <c r="J641" s="9" t="s">
        <v>35</v>
      </c>
      <c r="K641" s="7">
        <v>2</v>
      </c>
      <c r="L641" s="7" t="s">
        <v>52</v>
      </c>
      <c r="M641" s="7">
        <f t="shared" si="43"/>
        <v>1</v>
      </c>
      <c r="N641" s="9" t="s">
        <v>34</v>
      </c>
      <c r="O641" s="7">
        <v>0</v>
      </c>
      <c r="P641" s="9" t="s">
        <v>63</v>
      </c>
      <c r="Q641" s="7" t="s">
        <v>38</v>
      </c>
      <c r="R641" s="7" t="s">
        <v>38</v>
      </c>
      <c r="S641" s="10" t="s">
        <v>1525</v>
      </c>
      <c r="T641" s="7" t="s">
        <v>546</v>
      </c>
      <c r="U641" s="7">
        <v>22</v>
      </c>
      <c r="V641" s="7">
        <v>80</v>
      </c>
      <c r="W641" s="7" t="s">
        <v>88</v>
      </c>
      <c r="X641" s="7"/>
      <c r="Y641" s="7"/>
      <c r="Z641" s="7"/>
      <c r="AA641" s="7"/>
      <c r="AB641" s="7">
        <f t="shared" si="47"/>
        <v>7.333333333333333</v>
      </c>
      <c r="AC641" s="7">
        <f t="shared" si="44"/>
        <v>7.333333333333333</v>
      </c>
      <c r="AD641" s="7"/>
      <c r="AE641" s="7"/>
      <c r="AF641" s="7"/>
      <c r="AG641" s="7"/>
      <c r="AH641" s="7"/>
      <c r="AI641" s="7"/>
      <c r="AJ641" s="7"/>
      <c r="AK641" s="7" t="s">
        <v>252</v>
      </c>
      <c r="AL641" s="9"/>
      <c r="AM641" s="7" t="s">
        <v>42</v>
      </c>
      <c r="AN641" s="7" t="s">
        <v>42</v>
      </c>
      <c r="AO641" s="12"/>
    </row>
    <row r="642" spans="1:41" s="11" customFormat="1" x14ac:dyDescent="0.25">
      <c r="A642" s="2">
        <v>641</v>
      </c>
      <c r="B642" s="7" t="s">
        <v>545</v>
      </c>
      <c r="C642" s="7" t="s">
        <v>104</v>
      </c>
      <c r="D642" s="7">
        <v>20</v>
      </c>
      <c r="E642" s="7">
        <v>20</v>
      </c>
      <c r="F642" s="8">
        <v>1</v>
      </c>
      <c r="G642" s="8">
        <v>1</v>
      </c>
      <c r="H642" s="7">
        <v>1</v>
      </c>
      <c r="I642" s="7">
        <v>1</v>
      </c>
      <c r="J642" s="9" t="s">
        <v>35</v>
      </c>
      <c r="K642" s="7">
        <v>1</v>
      </c>
      <c r="L642" s="7" t="s">
        <v>52</v>
      </c>
      <c r="M642" s="7">
        <f t="shared" ref="M642:M705" si="48">IF(L642="n",F642,0)</f>
        <v>1</v>
      </c>
      <c r="N642" s="9" t="s">
        <v>34</v>
      </c>
      <c r="O642" s="7">
        <v>1</v>
      </c>
      <c r="P642" s="9" t="s">
        <v>63</v>
      </c>
      <c r="Q642" s="7" t="s">
        <v>38</v>
      </c>
      <c r="R642" s="7" t="s">
        <v>38</v>
      </c>
      <c r="S642" s="7"/>
      <c r="T642" s="7"/>
      <c r="U642" s="7"/>
      <c r="V642" s="7"/>
      <c r="W642" s="7"/>
      <c r="X642" s="7">
        <v>3</v>
      </c>
      <c r="Y642" s="7"/>
      <c r="Z642" s="7"/>
      <c r="AA642" s="7"/>
      <c r="AB642" s="7">
        <f t="shared" si="47"/>
        <v>1</v>
      </c>
      <c r="AC642" s="7">
        <f t="shared" ref="AC642:AC705" si="49">IF(L642="n",AB642,0)</f>
        <v>1</v>
      </c>
      <c r="AD642" s="7">
        <v>1</v>
      </c>
      <c r="AE642" s="7"/>
      <c r="AF642" s="7" t="s">
        <v>40</v>
      </c>
      <c r="AG642" s="7" t="s">
        <v>138</v>
      </c>
      <c r="AH642" s="7"/>
      <c r="AI642" s="7"/>
      <c r="AJ642" s="7"/>
      <c r="AK642" s="7"/>
      <c r="AL642" s="9"/>
      <c r="AM642" s="7" t="s">
        <v>71</v>
      </c>
      <c r="AN642" s="7" t="s">
        <v>71</v>
      </c>
      <c r="AO642" s="12"/>
    </row>
    <row r="643" spans="1:41" s="11" customFormat="1" x14ac:dyDescent="0.25">
      <c r="A643" s="2">
        <v>642</v>
      </c>
      <c r="B643" s="7" t="s">
        <v>545</v>
      </c>
      <c r="C643" s="7" t="s">
        <v>100</v>
      </c>
      <c r="D643" s="7">
        <v>4</v>
      </c>
      <c r="E643" s="7">
        <v>4</v>
      </c>
      <c r="F643" s="8">
        <v>1</v>
      </c>
      <c r="G643" s="8">
        <v>1</v>
      </c>
      <c r="H643" s="7">
        <v>1</v>
      </c>
      <c r="I643" s="7">
        <v>1</v>
      </c>
      <c r="J643" s="9" t="s">
        <v>35</v>
      </c>
      <c r="K643" s="7">
        <v>2</v>
      </c>
      <c r="L643" s="7" t="s">
        <v>52</v>
      </c>
      <c r="M643" s="7">
        <f t="shared" si="48"/>
        <v>1</v>
      </c>
      <c r="N643" s="9" t="s">
        <v>36</v>
      </c>
      <c r="O643" s="7">
        <v>0</v>
      </c>
      <c r="P643" s="9" t="s">
        <v>33</v>
      </c>
      <c r="Q643" s="7" t="s">
        <v>52</v>
      </c>
      <c r="R643" s="7" t="s">
        <v>38</v>
      </c>
      <c r="S643" s="10" t="s">
        <v>1874</v>
      </c>
      <c r="T643" s="7"/>
      <c r="U643" s="7"/>
      <c r="V643" s="7"/>
      <c r="W643" s="7"/>
      <c r="X643" s="7">
        <v>3</v>
      </c>
      <c r="Y643" s="7"/>
      <c r="Z643" s="7"/>
      <c r="AA643" s="7"/>
      <c r="AB643" s="7">
        <f t="shared" si="47"/>
        <v>1</v>
      </c>
      <c r="AC643" s="7">
        <f t="shared" si="49"/>
        <v>1</v>
      </c>
      <c r="AD643" s="7"/>
      <c r="AE643" s="7"/>
      <c r="AF643" s="7"/>
      <c r="AG643" s="7"/>
      <c r="AH643" s="7"/>
      <c r="AI643" s="7"/>
      <c r="AJ643" s="7"/>
      <c r="AK643" s="7"/>
      <c r="AL643" s="9"/>
      <c r="AM643" s="7" t="s">
        <v>71</v>
      </c>
      <c r="AN643" s="7" t="s">
        <v>71</v>
      </c>
      <c r="AO643" s="12"/>
    </row>
    <row r="644" spans="1:41" s="11" customFormat="1" x14ac:dyDescent="0.25">
      <c r="A644" s="2">
        <v>643</v>
      </c>
      <c r="B644" s="7" t="s">
        <v>545</v>
      </c>
      <c r="C644" s="7" t="s">
        <v>89</v>
      </c>
      <c r="D644" s="7" t="s">
        <v>146</v>
      </c>
      <c r="E644" s="7">
        <v>5</v>
      </c>
      <c r="F644" s="8">
        <v>2</v>
      </c>
      <c r="G644" s="8">
        <v>2</v>
      </c>
      <c r="H644" s="7" t="s">
        <v>87</v>
      </c>
      <c r="I644" s="7">
        <v>2</v>
      </c>
      <c r="J644" s="9" t="s">
        <v>35</v>
      </c>
      <c r="K644" s="7">
        <v>2</v>
      </c>
      <c r="L644" s="7" t="s">
        <v>52</v>
      </c>
      <c r="M644" s="7">
        <f t="shared" si="48"/>
        <v>2</v>
      </c>
      <c r="N644" s="9" t="s">
        <v>36</v>
      </c>
      <c r="O644" s="7">
        <v>0</v>
      </c>
      <c r="P644" s="9" t="s">
        <v>63</v>
      </c>
      <c r="Q644" s="7" t="s">
        <v>38</v>
      </c>
      <c r="R644" s="7" t="s">
        <v>38</v>
      </c>
      <c r="S644" s="7"/>
      <c r="T644" s="7"/>
      <c r="U644" s="7"/>
      <c r="V644" s="7"/>
      <c r="W644" s="7"/>
      <c r="X644" s="7">
        <v>3</v>
      </c>
      <c r="Y644" s="7"/>
      <c r="Z644" s="7"/>
      <c r="AA644" s="7"/>
      <c r="AB644" s="7">
        <f t="shared" si="47"/>
        <v>1</v>
      </c>
      <c r="AC644" s="7">
        <f t="shared" si="49"/>
        <v>1</v>
      </c>
      <c r="AD644" s="7"/>
      <c r="AE644" s="7"/>
      <c r="AF644" s="7"/>
      <c r="AG644" s="7"/>
      <c r="AH644" s="7"/>
      <c r="AI644" s="7"/>
      <c r="AJ644" s="7"/>
      <c r="AK644" s="7"/>
      <c r="AL644" s="9"/>
      <c r="AM644" s="7" t="s">
        <v>71</v>
      </c>
      <c r="AN644" s="7" t="s">
        <v>71</v>
      </c>
      <c r="AO644" s="12"/>
    </row>
    <row r="645" spans="1:41" s="11" customFormat="1" x14ac:dyDescent="0.25">
      <c r="A645" s="2">
        <v>644</v>
      </c>
      <c r="B645" s="7" t="s">
        <v>545</v>
      </c>
      <c r="C645" s="7" t="s">
        <v>100</v>
      </c>
      <c r="D645" s="7">
        <v>6</v>
      </c>
      <c r="E645" s="7">
        <v>6</v>
      </c>
      <c r="F645" s="8">
        <v>1</v>
      </c>
      <c r="G645" s="8">
        <v>1</v>
      </c>
      <c r="H645" s="7">
        <v>1</v>
      </c>
      <c r="I645" s="7">
        <v>1</v>
      </c>
      <c r="J645" s="9" t="s">
        <v>35</v>
      </c>
      <c r="K645" s="7">
        <v>2</v>
      </c>
      <c r="L645" s="7" t="s">
        <v>52</v>
      </c>
      <c r="M645" s="7">
        <f t="shared" si="48"/>
        <v>1</v>
      </c>
      <c r="N645" s="9" t="s">
        <v>36</v>
      </c>
      <c r="O645" s="7">
        <v>1</v>
      </c>
      <c r="P645" s="9" t="s">
        <v>63</v>
      </c>
      <c r="Q645" s="7" t="s">
        <v>38</v>
      </c>
      <c r="R645" s="7" t="s">
        <v>38</v>
      </c>
      <c r="S645" s="10" t="s">
        <v>1875</v>
      </c>
      <c r="T645" s="7"/>
      <c r="U645" s="7"/>
      <c r="V645" s="7"/>
      <c r="W645" s="7"/>
      <c r="X645" s="7">
        <v>3</v>
      </c>
      <c r="Y645" s="7"/>
      <c r="Z645" s="7"/>
      <c r="AA645" s="7"/>
      <c r="AB645" s="7">
        <f t="shared" si="47"/>
        <v>1</v>
      </c>
      <c r="AC645" s="7">
        <f t="shared" si="49"/>
        <v>1</v>
      </c>
      <c r="AD645" s="7"/>
      <c r="AE645" s="7"/>
      <c r="AF645" s="7"/>
      <c r="AG645" s="7"/>
      <c r="AH645" s="7"/>
      <c r="AI645" s="7"/>
      <c r="AJ645" s="7"/>
      <c r="AK645" s="7"/>
      <c r="AL645" s="9"/>
      <c r="AM645" s="7" t="s">
        <v>71</v>
      </c>
      <c r="AN645" s="7" t="s">
        <v>71</v>
      </c>
      <c r="AO645" s="12"/>
    </row>
    <row r="646" spans="1:41" s="11" customFormat="1" x14ac:dyDescent="0.25">
      <c r="A646" s="2">
        <v>645</v>
      </c>
      <c r="B646" s="7" t="s">
        <v>545</v>
      </c>
      <c r="C646" s="7" t="s">
        <v>100</v>
      </c>
      <c r="D646" s="7">
        <v>3</v>
      </c>
      <c r="E646" s="7">
        <v>3</v>
      </c>
      <c r="F646" s="8">
        <v>1</v>
      </c>
      <c r="G646" s="8">
        <v>1</v>
      </c>
      <c r="H646" s="7">
        <v>1</v>
      </c>
      <c r="I646" s="7">
        <v>1</v>
      </c>
      <c r="J646" s="9" t="s">
        <v>35</v>
      </c>
      <c r="K646" s="7">
        <v>2</v>
      </c>
      <c r="L646" s="7" t="s">
        <v>52</v>
      </c>
      <c r="M646" s="7">
        <f t="shared" si="48"/>
        <v>1</v>
      </c>
      <c r="N646" s="9" t="s">
        <v>34</v>
      </c>
      <c r="O646" s="7">
        <v>0</v>
      </c>
      <c r="P646" s="9" t="s">
        <v>63</v>
      </c>
      <c r="Q646" s="7" t="s">
        <v>38</v>
      </c>
      <c r="R646" s="7" t="s">
        <v>38</v>
      </c>
      <c r="S646" s="10" t="s">
        <v>1876</v>
      </c>
      <c r="T646" s="7"/>
      <c r="U646" s="7"/>
      <c r="V646" s="7"/>
      <c r="W646" s="7"/>
      <c r="X646" s="7">
        <v>3</v>
      </c>
      <c r="Y646" s="7"/>
      <c r="Z646" s="7"/>
      <c r="AA646" s="7"/>
      <c r="AB646" s="7">
        <f t="shared" si="47"/>
        <v>1</v>
      </c>
      <c r="AC646" s="7">
        <f t="shared" si="49"/>
        <v>1</v>
      </c>
      <c r="AD646" s="7"/>
      <c r="AE646" s="7"/>
      <c r="AF646" s="7"/>
      <c r="AG646" s="7"/>
      <c r="AH646" s="7"/>
      <c r="AI646" s="7"/>
      <c r="AJ646" s="7"/>
      <c r="AK646" s="7"/>
      <c r="AL646" s="9"/>
      <c r="AM646" s="7" t="s">
        <v>71</v>
      </c>
      <c r="AN646" s="7" t="s">
        <v>71</v>
      </c>
      <c r="AO646" s="12"/>
    </row>
    <row r="647" spans="1:41" s="11" customFormat="1" x14ac:dyDescent="0.25">
      <c r="A647" s="2">
        <v>646</v>
      </c>
      <c r="B647" s="7" t="s">
        <v>545</v>
      </c>
      <c r="C647" s="7" t="s">
        <v>100</v>
      </c>
      <c r="D647" s="7">
        <v>5</v>
      </c>
      <c r="E647" s="7">
        <v>5</v>
      </c>
      <c r="F647" s="8">
        <v>1</v>
      </c>
      <c r="G647" s="8">
        <v>1</v>
      </c>
      <c r="H647" s="7">
        <v>1</v>
      </c>
      <c r="I647" s="7">
        <v>1</v>
      </c>
      <c r="J647" s="9" t="s">
        <v>70</v>
      </c>
      <c r="K647" s="7">
        <v>1</v>
      </c>
      <c r="L647" s="7" t="s">
        <v>52</v>
      </c>
      <c r="M647" s="7">
        <f t="shared" si="48"/>
        <v>1</v>
      </c>
      <c r="N647" s="9" t="s">
        <v>36</v>
      </c>
      <c r="O647" s="7">
        <v>0</v>
      </c>
      <c r="P647" s="9" t="s">
        <v>33</v>
      </c>
      <c r="Q647" s="7" t="s">
        <v>38</v>
      </c>
      <c r="R647" s="7" t="s">
        <v>38</v>
      </c>
      <c r="S647" s="10" t="s">
        <v>1877</v>
      </c>
      <c r="T647" s="7"/>
      <c r="U647" s="7"/>
      <c r="V647" s="7"/>
      <c r="W647" s="7"/>
      <c r="X647" s="7">
        <v>3</v>
      </c>
      <c r="Y647" s="7"/>
      <c r="Z647" s="7"/>
      <c r="AA647" s="7"/>
      <c r="AB647" s="7">
        <f t="shared" si="47"/>
        <v>1</v>
      </c>
      <c r="AC647" s="7">
        <f t="shared" si="49"/>
        <v>1</v>
      </c>
      <c r="AD647" s="7"/>
      <c r="AE647" s="7"/>
      <c r="AF647" s="7"/>
      <c r="AG647" s="7"/>
      <c r="AH647" s="7"/>
      <c r="AI647" s="7"/>
      <c r="AJ647" s="7"/>
      <c r="AK647" s="7"/>
      <c r="AL647" s="9"/>
      <c r="AM647" s="7" t="s">
        <v>71</v>
      </c>
      <c r="AN647" s="7" t="s">
        <v>71</v>
      </c>
      <c r="AO647" s="12"/>
    </row>
    <row r="648" spans="1:41" s="11" customFormat="1" ht="24" x14ac:dyDescent="0.25">
      <c r="A648" s="2">
        <v>647</v>
      </c>
      <c r="B648" s="7" t="s">
        <v>547</v>
      </c>
      <c r="C648" s="7" t="s">
        <v>237</v>
      </c>
      <c r="D648" s="7">
        <v>103</v>
      </c>
      <c r="E648" s="7">
        <v>103</v>
      </c>
      <c r="F648" s="8">
        <v>1</v>
      </c>
      <c r="G648" s="8">
        <v>1</v>
      </c>
      <c r="H648" s="7">
        <v>1</v>
      </c>
      <c r="I648" s="7">
        <v>1</v>
      </c>
      <c r="J648" s="9" t="s">
        <v>176</v>
      </c>
      <c r="K648" s="7" t="s">
        <v>548</v>
      </c>
      <c r="L648" s="7" t="s">
        <v>52</v>
      </c>
      <c r="M648" s="7">
        <f t="shared" si="48"/>
        <v>1</v>
      </c>
      <c r="N648" s="9" t="s">
        <v>177</v>
      </c>
      <c r="O648" s="7">
        <v>0</v>
      </c>
      <c r="P648" s="9" t="s">
        <v>63</v>
      </c>
      <c r="Q648" s="7" t="s">
        <v>38</v>
      </c>
      <c r="R648" s="7" t="s">
        <v>38</v>
      </c>
      <c r="S648" s="7" t="s">
        <v>549</v>
      </c>
      <c r="T648" s="7">
        <v>10</v>
      </c>
      <c r="U648" s="7">
        <v>10</v>
      </c>
      <c r="V648" s="7" t="s">
        <v>81</v>
      </c>
      <c r="W648" s="7" t="s">
        <v>64</v>
      </c>
      <c r="X648" s="7">
        <v>10</v>
      </c>
      <c r="Y648" s="7"/>
      <c r="Z648" s="7"/>
      <c r="AA648" s="7"/>
      <c r="AB648" s="7">
        <f t="shared" si="47"/>
        <v>6.666666666666667</v>
      </c>
      <c r="AC648" s="7">
        <f t="shared" si="49"/>
        <v>6.666666666666667</v>
      </c>
      <c r="AD648" s="7"/>
      <c r="AE648" s="7"/>
      <c r="AF648" s="7"/>
      <c r="AG648" s="7"/>
      <c r="AH648" s="7"/>
      <c r="AI648" s="7"/>
      <c r="AJ648" s="7"/>
      <c r="AK648" s="10" t="s">
        <v>2450</v>
      </c>
      <c r="AL648" s="9" t="s">
        <v>38</v>
      </c>
      <c r="AM648" s="7" t="s">
        <v>550</v>
      </c>
      <c r="AN648" s="7" t="s">
        <v>2846</v>
      </c>
      <c r="AO648" s="15" t="s">
        <v>2554</v>
      </c>
    </row>
    <row r="649" spans="1:41" s="11" customFormat="1" x14ac:dyDescent="0.25">
      <c r="A649" s="2">
        <v>648</v>
      </c>
      <c r="B649" s="7" t="s">
        <v>551</v>
      </c>
      <c r="C649" s="7" t="s">
        <v>552</v>
      </c>
      <c r="D649" s="7">
        <v>75</v>
      </c>
      <c r="E649" s="7">
        <v>75</v>
      </c>
      <c r="F649" s="8">
        <v>1</v>
      </c>
      <c r="G649" s="8">
        <v>1</v>
      </c>
      <c r="H649" s="7">
        <v>1</v>
      </c>
      <c r="I649" s="7">
        <v>1</v>
      </c>
      <c r="J649" s="9" t="s">
        <v>176</v>
      </c>
      <c r="K649" s="7" t="s">
        <v>548</v>
      </c>
      <c r="L649" s="7" t="s">
        <v>52</v>
      </c>
      <c r="M649" s="7">
        <f t="shared" si="48"/>
        <v>1</v>
      </c>
      <c r="N649" s="9" t="s">
        <v>177</v>
      </c>
      <c r="O649" s="7">
        <v>0</v>
      </c>
      <c r="P649" s="9" t="s">
        <v>63</v>
      </c>
      <c r="Q649" s="7" t="s">
        <v>52</v>
      </c>
      <c r="R649" s="7" t="s">
        <v>38</v>
      </c>
      <c r="S649" s="10" t="s">
        <v>1878</v>
      </c>
      <c r="T649" s="7"/>
      <c r="U649" s="7"/>
      <c r="V649" s="7"/>
      <c r="W649" s="7"/>
      <c r="X649" s="7"/>
      <c r="Y649" s="7">
        <v>55</v>
      </c>
      <c r="Z649" s="7">
        <v>55</v>
      </c>
      <c r="AA649" s="7" t="s">
        <v>81</v>
      </c>
      <c r="AB649" s="7">
        <f t="shared" si="47"/>
        <v>18.333333333333332</v>
      </c>
      <c r="AC649" s="7">
        <f t="shared" si="49"/>
        <v>18.333333333333332</v>
      </c>
      <c r="AD649" s="7"/>
      <c r="AE649" s="7"/>
      <c r="AF649" s="7"/>
      <c r="AG649" s="7"/>
      <c r="AH649" s="7"/>
      <c r="AI649" s="7"/>
      <c r="AJ649" s="7"/>
      <c r="AK649" s="10" t="s">
        <v>2451</v>
      </c>
      <c r="AL649" s="9"/>
      <c r="AM649" s="7" t="s">
        <v>550</v>
      </c>
      <c r="AN649" s="7" t="s">
        <v>2846</v>
      </c>
      <c r="AO649" s="15" t="s">
        <v>2554</v>
      </c>
    </row>
    <row r="650" spans="1:41" s="11" customFormat="1" x14ac:dyDescent="0.25">
      <c r="A650" s="2">
        <v>649</v>
      </c>
      <c r="B650" s="7" t="s">
        <v>240</v>
      </c>
      <c r="C650" s="7" t="s">
        <v>32</v>
      </c>
      <c r="D650" s="7">
        <v>15</v>
      </c>
      <c r="E650" s="7">
        <v>15</v>
      </c>
      <c r="F650" s="8">
        <v>1</v>
      </c>
      <c r="G650" s="8">
        <v>1</v>
      </c>
      <c r="H650" s="7">
        <v>1</v>
      </c>
      <c r="I650" s="7">
        <v>1</v>
      </c>
      <c r="J650" s="9" t="s">
        <v>553</v>
      </c>
      <c r="K650" s="9" t="s">
        <v>548</v>
      </c>
      <c r="L650" s="7" t="s">
        <v>52</v>
      </c>
      <c r="M650" s="7">
        <f t="shared" si="48"/>
        <v>1</v>
      </c>
      <c r="N650" s="9"/>
      <c r="O650" s="7"/>
      <c r="P650" s="9"/>
      <c r="Q650" s="7" t="s">
        <v>52</v>
      </c>
      <c r="R650" s="7" t="s">
        <v>52</v>
      </c>
      <c r="S650" s="7" t="s">
        <v>554</v>
      </c>
      <c r="T650" s="7"/>
      <c r="U650" s="7"/>
      <c r="V650" s="7"/>
      <c r="W650" s="7"/>
      <c r="X650" s="7"/>
      <c r="Y650" s="7">
        <v>40</v>
      </c>
      <c r="Z650" s="7">
        <v>40</v>
      </c>
      <c r="AA650" s="7">
        <v>40</v>
      </c>
      <c r="AB650" s="7">
        <f t="shared" si="47"/>
        <v>13.333333333333334</v>
      </c>
      <c r="AC650" s="7">
        <f t="shared" si="49"/>
        <v>13.333333333333334</v>
      </c>
      <c r="AD650" s="7"/>
      <c r="AE650" s="7"/>
      <c r="AF650" s="7"/>
      <c r="AG650" s="7"/>
      <c r="AH650" s="7"/>
      <c r="AI650" s="7"/>
      <c r="AJ650" s="7"/>
      <c r="AK650" s="7"/>
      <c r="AL650" s="9"/>
      <c r="AM650" s="7" t="s">
        <v>349</v>
      </c>
      <c r="AN650" s="7" t="s">
        <v>2851</v>
      </c>
      <c r="AO650" s="15" t="s">
        <v>2555</v>
      </c>
    </row>
    <row r="651" spans="1:41" s="11" customFormat="1" ht="24" x14ac:dyDescent="0.25">
      <c r="A651" s="2">
        <v>650</v>
      </c>
      <c r="B651" s="7" t="s">
        <v>555</v>
      </c>
      <c r="C651" s="7" t="s">
        <v>237</v>
      </c>
      <c r="D651" s="7" t="s">
        <v>556</v>
      </c>
      <c r="E651" s="7">
        <f>34+28+22+19+16+12+4</f>
        <v>135</v>
      </c>
      <c r="F651" s="8">
        <v>1</v>
      </c>
      <c r="G651" s="8">
        <v>10</v>
      </c>
      <c r="H651" s="7">
        <v>10</v>
      </c>
      <c r="I651" s="7">
        <v>10</v>
      </c>
      <c r="J651" s="9" t="s">
        <v>35</v>
      </c>
      <c r="K651" s="7">
        <v>1</v>
      </c>
      <c r="L651" s="7" t="s">
        <v>52</v>
      </c>
      <c r="M651" s="7">
        <f t="shared" si="48"/>
        <v>1</v>
      </c>
      <c r="N651" s="9" t="s">
        <v>34</v>
      </c>
      <c r="O651" s="7">
        <v>2</v>
      </c>
      <c r="P651" s="9" t="s">
        <v>63</v>
      </c>
      <c r="Q651" s="7" t="s">
        <v>38</v>
      </c>
      <c r="R651" s="7" t="s">
        <v>38</v>
      </c>
      <c r="S651" s="10" t="s">
        <v>1879</v>
      </c>
      <c r="T651" s="7">
        <v>20</v>
      </c>
      <c r="U651" s="7">
        <v>20</v>
      </c>
      <c r="V651" s="7">
        <v>105</v>
      </c>
      <c r="W651" s="7" t="s">
        <v>83</v>
      </c>
      <c r="X651" s="7">
        <v>10</v>
      </c>
      <c r="Y651" s="7"/>
      <c r="Z651" s="7"/>
      <c r="AA651" s="7"/>
      <c r="AB651" s="7">
        <f t="shared" si="47"/>
        <v>10</v>
      </c>
      <c r="AC651" s="7">
        <f t="shared" si="49"/>
        <v>10</v>
      </c>
      <c r="AD651" s="7"/>
      <c r="AE651" s="7">
        <v>1</v>
      </c>
      <c r="AF651" s="7" t="s">
        <v>40</v>
      </c>
      <c r="AG651" s="7" t="s">
        <v>557</v>
      </c>
      <c r="AH651" s="7"/>
      <c r="AI651" s="7"/>
      <c r="AJ651" s="7"/>
      <c r="AK651" s="10" t="s">
        <v>2452</v>
      </c>
      <c r="AL651" s="9"/>
      <c r="AM651" s="7" t="s">
        <v>42</v>
      </c>
      <c r="AN651" s="7" t="s">
        <v>42</v>
      </c>
      <c r="AO651" s="15" t="s">
        <v>2556</v>
      </c>
    </row>
    <row r="652" spans="1:41" s="11" customFormat="1" ht="24" x14ac:dyDescent="0.25">
      <c r="A652" s="2">
        <v>651</v>
      </c>
      <c r="B652" s="7" t="s">
        <v>555</v>
      </c>
      <c r="C652" s="7" t="s">
        <v>245</v>
      </c>
      <c r="D652" s="7">
        <v>28</v>
      </c>
      <c r="E652" s="7">
        <v>28</v>
      </c>
      <c r="F652" s="8">
        <v>1</v>
      </c>
      <c r="G652" s="8">
        <v>1</v>
      </c>
      <c r="H652" s="7">
        <v>1</v>
      </c>
      <c r="I652" s="7">
        <v>1</v>
      </c>
      <c r="J652" s="7" t="s">
        <v>1489</v>
      </c>
      <c r="K652" s="7">
        <v>2</v>
      </c>
      <c r="L652" s="7" t="s">
        <v>52</v>
      </c>
      <c r="M652" s="7">
        <f t="shared" si="48"/>
        <v>1</v>
      </c>
      <c r="N652" s="9" t="s">
        <v>34</v>
      </c>
      <c r="O652" s="7">
        <v>1</v>
      </c>
      <c r="P652" s="9" t="s">
        <v>33</v>
      </c>
      <c r="Q652" s="7" t="s">
        <v>38</v>
      </c>
      <c r="R652" s="7" t="s">
        <v>38</v>
      </c>
      <c r="S652" s="10" t="s">
        <v>1880</v>
      </c>
      <c r="T652" s="7">
        <v>17</v>
      </c>
      <c r="U652" s="7">
        <v>17</v>
      </c>
      <c r="V652" s="7">
        <v>100</v>
      </c>
      <c r="W652" s="7" t="s">
        <v>88</v>
      </c>
      <c r="X652" s="7">
        <v>5</v>
      </c>
      <c r="Y652" s="7"/>
      <c r="Z652" s="7"/>
      <c r="AA652" s="7"/>
      <c r="AB652" s="7">
        <f t="shared" si="47"/>
        <v>7.333333333333333</v>
      </c>
      <c r="AC652" s="7">
        <f t="shared" si="49"/>
        <v>7.333333333333333</v>
      </c>
      <c r="AD652" s="7"/>
      <c r="AE652" s="7">
        <v>1</v>
      </c>
      <c r="AF652" s="7" t="s">
        <v>40</v>
      </c>
      <c r="AG652" s="7" t="s">
        <v>558</v>
      </c>
      <c r="AH652" s="7"/>
      <c r="AI652" s="7"/>
      <c r="AJ652" s="7"/>
      <c r="AK652" s="7" t="s">
        <v>252</v>
      </c>
      <c r="AL652" s="9"/>
      <c r="AM652" s="7" t="s">
        <v>42</v>
      </c>
      <c r="AN652" s="7" t="s">
        <v>42</v>
      </c>
      <c r="AO652" s="15" t="s">
        <v>2557</v>
      </c>
    </row>
    <row r="653" spans="1:41" s="11" customFormat="1" x14ac:dyDescent="0.25">
      <c r="A653" s="2">
        <v>652</v>
      </c>
      <c r="B653" s="7" t="s">
        <v>555</v>
      </c>
      <c r="C653" s="7" t="s">
        <v>78</v>
      </c>
      <c r="D653" s="7">
        <v>5</v>
      </c>
      <c r="E653" s="7">
        <v>5</v>
      </c>
      <c r="F653" s="8">
        <v>1</v>
      </c>
      <c r="G653" s="8">
        <v>1</v>
      </c>
      <c r="H653" s="7">
        <v>1</v>
      </c>
      <c r="I653" s="7">
        <v>1</v>
      </c>
      <c r="J653" s="9" t="s">
        <v>70</v>
      </c>
      <c r="K653" s="7">
        <v>1</v>
      </c>
      <c r="L653" s="7" t="s">
        <v>52</v>
      </c>
      <c r="M653" s="7">
        <f t="shared" si="48"/>
        <v>1</v>
      </c>
      <c r="N653" s="9" t="s">
        <v>34</v>
      </c>
      <c r="O653" s="7">
        <v>0</v>
      </c>
      <c r="P653" s="9" t="s">
        <v>33</v>
      </c>
      <c r="Q653" s="7" t="s">
        <v>38</v>
      </c>
      <c r="R653" s="7" t="s">
        <v>38</v>
      </c>
      <c r="S653" s="7"/>
      <c r="T653" s="7">
        <v>10</v>
      </c>
      <c r="U653" s="7">
        <v>10</v>
      </c>
      <c r="V653" s="7">
        <v>80</v>
      </c>
      <c r="W653" s="7" t="s">
        <v>79</v>
      </c>
      <c r="X653" s="7"/>
      <c r="Y653" s="7"/>
      <c r="Z653" s="7"/>
      <c r="AA653" s="7"/>
      <c r="AB653" s="7">
        <f t="shared" si="47"/>
        <v>3.3333333333333335</v>
      </c>
      <c r="AC653" s="7">
        <f t="shared" si="49"/>
        <v>3.3333333333333335</v>
      </c>
      <c r="AD653" s="7"/>
      <c r="AE653" s="7"/>
      <c r="AF653" s="7"/>
      <c r="AG653" s="7"/>
      <c r="AH653" s="7"/>
      <c r="AI653" s="7"/>
      <c r="AJ653" s="7"/>
      <c r="AK653" s="7"/>
      <c r="AL653" s="9"/>
      <c r="AM653" s="7" t="s">
        <v>559</v>
      </c>
      <c r="AN653" s="7" t="s">
        <v>2851</v>
      </c>
      <c r="AO653" s="12"/>
    </row>
    <row r="654" spans="1:41" s="11" customFormat="1" x14ac:dyDescent="0.25">
      <c r="A654" s="2">
        <v>653</v>
      </c>
      <c r="B654" s="7" t="s">
        <v>555</v>
      </c>
      <c r="C654" s="7" t="s">
        <v>50</v>
      </c>
      <c r="D654" s="7" t="s">
        <v>560</v>
      </c>
      <c r="E654" s="7">
        <f>52+13</f>
        <v>65</v>
      </c>
      <c r="F654" s="8">
        <v>1</v>
      </c>
      <c r="G654" s="8">
        <v>2</v>
      </c>
      <c r="H654" s="7">
        <v>2</v>
      </c>
      <c r="I654" s="7">
        <v>2</v>
      </c>
      <c r="J654" s="9" t="s">
        <v>561</v>
      </c>
      <c r="K654" s="7">
        <v>1</v>
      </c>
      <c r="L654" s="7" t="s">
        <v>52</v>
      </c>
      <c r="M654" s="7">
        <f t="shared" si="48"/>
        <v>1</v>
      </c>
      <c r="N654" s="9" t="s">
        <v>34</v>
      </c>
      <c r="O654" s="7">
        <v>0</v>
      </c>
      <c r="P654" s="9" t="s">
        <v>33</v>
      </c>
      <c r="Q654" s="7" t="s">
        <v>38</v>
      </c>
      <c r="R654" s="7" t="s">
        <v>52</v>
      </c>
      <c r="S654" s="10" t="s">
        <v>1881</v>
      </c>
      <c r="T654" s="7"/>
      <c r="U654" s="7"/>
      <c r="V654" s="7"/>
      <c r="W654" s="7"/>
      <c r="X654" s="7"/>
      <c r="Y654" s="7">
        <v>23</v>
      </c>
      <c r="Z654" s="7">
        <v>23</v>
      </c>
      <c r="AA654" s="7">
        <v>115</v>
      </c>
      <c r="AB654" s="7">
        <f t="shared" si="47"/>
        <v>7.666666666666667</v>
      </c>
      <c r="AC654" s="7">
        <f t="shared" si="49"/>
        <v>7.666666666666667</v>
      </c>
      <c r="AD654" s="7"/>
      <c r="AE654" s="7"/>
      <c r="AF654" s="7"/>
      <c r="AG654" s="7"/>
      <c r="AH654" s="7"/>
      <c r="AI654" s="7"/>
      <c r="AJ654" s="7"/>
      <c r="AK654" s="7"/>
      <c r="AL654" s="9"/>
      <c r="AM654" s="7" t="s">
        <v>71</v>
      </c>
      <c r="AN654" s="7" t="s">
        <v>71</v>
      </c>
      <c r="AO654" s="12"/>
    </row>
    <row r="655" spans="1:41" s="11" customFormat="1" x14ac:dyDescent="0.25">
      <c r="A655" s="2">
        <v>654</v>
      </c>
      <c r="B655" s="7" t="s">
        <v>555</v>
      </c>
      <c r="C655" s="7" t="s">
        <v>89</v>
      </c>
      <c r="D655" s="7" t="s">
        <v>562</v>
      </c>
      <c r="E655" s="7">
        <v>21</v>
      </c>
      <c r="F655" s="8">
        <v>4</v>
      </c>
      <c r="G655" s="8">
        <v>5</v>
      </c>
      <c r="H655" s="7" t="s">
        <v>171</v>
      </c>
      <c r="I655" s="7">
        <v>5</v>
      </c>
      <c r="J655" s="9" t="s">
        <v>35</v>
      </c>
      <c r="K655" s="7">
        <v>2</v>
      </c>
      <c r="L655" s="7" t="s">
        <v>52</v>
      </c>
      <c r="M655" s="7">
        <f t="shared" si="48"/>
        <v>4</v>
      </c>
      <c r="N655" s="9"/>
      <c r="O655" s="7"/>
      <c r="P655" s="9"/>
      <c r="Q655" s="7" t="s">
        <v>38</v>
      </c>
      <c r="R655" s="7" t="s">
        <v>38</v>
      </c>
      <c r="S655" s="7"/>
      <c r="T655" s="7"/>
      <c r="U655" s="7"/>
      <c r="V655" s="7"/>
      <c r="W655" s="7"/>
      <c r="X655" s="7">
        <v>3</v>
      </c>
      <c r="Y655" s="7"/>
      <c r="Z655" s="7"/>
      <c r="AA655" s="7"/>
      <c r="AB655" s="7">
        <f t="shared" si="47"/>
        <v>1</v>
      </c>
      <c r="AC655" s="7">
        <f t="shared" si="49"/>
        <v>1</v>
      </c>
      <c r="AD655" s="7"/>
      <c r="AE655" s="7"/>
      <c r="AF655" s="7"/>
      <c r="AG655" s="7"/>
      <c r="AH655" s="7"/>
      <c r="AI655" s="7"/>
      <c r="AJ655" s="7"/>
      <c r="AK655" s="7"/>
      <c r="AL655" s="9"/>
      <c r="AM655" s="7" t="s">
        <v>71</v>
      </c>
      <c r="AN655" s="7" t="s">
        <v>71</v>
      </c>
      <c r="AO655" s="12"/>
    </row>
    <row r="656" spans="1:41" s="11" customFormat="1" x14ac:dyDescent="0.25">
      <c r="A656" s="2">
        <v>655</v>
      </c>
      <c r="B656" s="7" t="s">
        <v>555</v>
      </c>
      <c r="C656" s="7" t="s">
        <v>89</v>
      </c>
      <c r="D656" s="7" t="s">
        <v>563</v>
      </c>
      <c r="E656" s="7">
        <v>25</v>
      </c>
      <c r="F656" s="8">
        <v>2</v>
      </c>
      <c r="G656" s="8">
        <v>2</v>
      </c>
      <c r="H656" s="7" t="s">
        <v>87</v>
      </c>
      <c r="I656" s="7">
        <v>2</v>
      </c>
      <c r="J656" s="9" t="s">
        <v>219</v>
      </c>
      <c r="K656" s="7">
        <v>13</v>
      </c>
      <c r="L656" s="7" t="s">
        <v>52</v>
      </c>
      <c r="M656" s="7">
        <f t="shared" si="48"/>
        <v>2</v>
      </c>
      <c r="N656" s="9"/>
      <c r="O656" s="7"/>
      <c r="P656" s="9"/>
      <c r="Q656" s="7"/>
      <c r="R656" s="7"/>
      <c r="S656" s="7"/>
      <c r="T656" s="7"/>
      <c r="U656" s="7"/>
      <c r="V656" s="7"/>
      <c r="W656" s="7"/>
      <c r="X656" s="7">
        <v>3</v>
      </c>
      <c r="Y656" s="7"/>
      <c r="Z656" s="7"/>
      <c r="AA656" s="7"/>
      <c r="AB656" s="7">
        <f t="shared" si="47"/>
        <v>1</v>
      </c>
      <c r="AC656" s="7">
        <f t="shared" si="49"/>
        <v>1</v>
      </c>
      <c r="AD656" s="7"/>
      <c r="AE656" s="7"/>
      <c r="AF656" s="7"/>
      <c r="AG656" s="7"/>
      <c r="AH656" s="7"/>
      <c r="AI656" s="7"/>
      <c r="AJ656" s="7"/>
      <c r="AK656" s="7"/>
      <c r="AL656" s="9"/>
      <c r="AM656" s="7" t="s">
        <v>71</v>
      </c>
      <c r="AN656" s="7" t="s">
        <v>71</v>
      </c>
      <c r="AO656" s="12"/>
    </row>
    <row r="657" spans="1:41" s="11" customFormat="1" x14ac:dyDescent="0.25">
      <c r="A657" s="2">
        <v>656</v>
      </c>
      <c r="B657" s="7" t="s">
        <v>555</v>
      </c>
      <c r="C657" s="7" t="s">
        <v>89</v>
      </c>
      <c r="D657" s="7" t="s">
        <v>564</v>
      </c>
      <c r="E657" s="7">
        <f>34+23+23+8</f>
        <v>88</v>
      </c>
      <c r="F657" s="8">
        <v>4</v>
      </c>
      <c r="G657" s="8">
        <v>4</v>
      </c>
      <c r="H657" s="7" t="s">
        <v>91</v>
      </c>
      <c r="I657" s="7">
        <v>4</v>
      </c>
      <c r="J657" s="9" t="s">
        <v>353</v>
      </c>
      <c r="K657" s="7"/>
      <c r="L657" s="7" t="s">
        <v>38</v>
      </c>
      <c r="M657" s="7">
        <f t="shared" si="48"/>
        <v>0</v>
      </c>
      <c r="N657" s="9"/>
      <c r="O657" s="7"/>
      <c r="P657" s="9"/>
      <c r="Q657" s="7"/>
      <c r="R657" s="7"/>
      <c r="S657" s="7"/>
      <c r="T657" s="7"/>
      <c r="U657" s="7"/>
      <c r="V657" s="7"/>
      <c r="W657" s="7"/>
      <c r="X657" s="7">
        <v>3</v>
      </c>
      <c r="Y657" s="7"/>
      <c r="Z657" s="7"/>
      <c r="AA657" s="7"/>
      <c r="AB657" s="7">
        <f t="shared" si="47"/>
        <v>1</v>
      </c>
      <c r="AC657" s="7">
        <f t="shared" si="49"/>
        <v>0</v>
      </c>
      <c r="AD657" s="7"/>
      <c r="AE657" s="7"/>
      <c r="AF657" s="7"/>
      <c r="AG657" s="7"/>
      <c r="AH657" s="7"/>
      <c r="AI657" s="7"/>
      <c r="AJ657" s="7"/>
      <c r="AK657" s="7"/>
      <c r="AL657" s="9"/>
      <c r="AM657" s="7" t="s">
        <v>71</v>
      </c>
      <c r="AN657" s="7" t="s">
        <v>71</v>
      </c>
      <c r="AO657" s="12"/>
    </row>
    <row r="658" spans="1:41" s="11" customFormat="1" x14ac:dyDescent="0.25">
      <c r="A658" s="2">
        <v>657</v>
      </c>
      <c r="B658" s="7" t="s">
        <v>555</v>
      </c>
      <c r="C658" s="7" t="s">
        <v>50</v>
      </c>
      <c r="D658" s="7">
        <v>102</v>
      </c>
      <c r="E658" s="7">
        <v>102</v>
      </c>
      <c r="F658" s="8">
        <v>1</v>
      </c>
      <c r="G658" s="8">
        <v>1</v>
      </c>
      <c r="H658" s="7">
        <v>1</v>
      </c>
      <c r="I658" s="7">
        <v>1</v>
      </c>
      <c r="J658" s="9" t="s">
        <v>176</v>
      </c>
      <c r="K658" s="7" t="s">
        <v>548</v>
      </c>
      <c r="L658" s="7" t="s">
        <v>52</v>
      </c>
      <c r="M658" s="7">
        <f t="shared" si="48"/>
        <v>1</v>
      </c>
      <c r="N658" s="9" t="s">
        <v>177</v>
      </c>
      <c r="O658" s="7">
        <v>0</v>
      </c>
      <c r="P658" s="9" t="s">
        <v>63</v>
      </c>
      <c r="Q658" s="7" t="s">
        <v>38</v>
      </c>
      <c r="R658" s="7" t="s">
        <v>38</v>
      </c>
      <c r="S658" s="7" t="s">
        <v>565</v>
      </c>
      <c r="T658" s="7"/>
      <c r="U658" s="7"/>
      <c r="V658" s="7"/>
      <c r="W658" s="7"/>
      <c r="X658" s="7"/>
      <c r="Y658" s="7">
        <v>50</v>
      </c>
      <c r="Z658" s="7">
        <v>50</v>
      </c>
      <c r="AA658" s="7">
        <v>90</v>
      </c>
      <c r="AB658" s="7">
        <f t="shared" si="47"/>
        <v>16.666666666666668</v>
      </c>
      <c r="AC658" s="7">
        <f t="shared" si="49"/>
        <v>16.666666666666668</v>
      </c>
      <c r="AD658" s="7"/>
      <c r="AE658" s="7">
        <v>1</v>
      </c>
      <c r="AF658" s="7"/>
      <c r="AG658" s="7" t="s">
        <v>566</v>
      </c>
      <c r="AH658" s="7"/>
      <c r="AI658" s="7"/>
      <c r="AJ658" s="10" t="s">
        <v>2357</v>
      </c>
      <c r="AK658" s="7"/>
      <c r="AL658" s="9"/>
      <c r="AM658" s="7" t="s">
        <v>567</v>
      </c>
      <c r="AN658" s="7" t="s">
        <v>2849</v>
      </c>
      <c r="AO658" s="15" t="s">
        <v>2558</v>
      </c>
    </row>
    <row r="659" spans="1:41" s="11" customFormat="1" x14ac:dyDescent="0.25">
      <c r="A659" s="2">
        <v>658</v>
      </c>
      <c r="B659" s="7" t="s">
        <v>555</v>
      </c>
      <c r="C659" s="7" t="s">
        <v>50</v>
      </c>
      <c r="D659" s="7">
        <v>79</v>
      </c>
      <c r="E659" s="7">
        <v>79</v>
      </c>
      <c r="F659" s="8">
        <v>1</v>
      </c>
      <c r="G659" s="8">
        <v>1</v>
      </c>
      <c r="H659" s="7">
        <v>1</v>
      </c>
      <c r="I659" s="7">
        <v>1</v>
      </c>
      <c r="J659" s="9" t="s">
        <v>176</v>
      </c>
      <c r="K659" s="7">
        <v>2</v>
      </c>
      <c r="L659" s="7" t="s">
        <v>52</v>
      </c>
      <c r="M659" s="7">
        <f t="shared" si="48"/>
        <v>1</v>
      </c>
      <c r="N659" s="9" t="s">
        <v>177</v>
      </c>
      <c r="O659" s="7">
        <v>0</v>
      </c>
      <c r="P659" s="9" t="s">
        <v>63</v>
      </c>
      <c r="Q659" s="7" t="s">
        <v>38</v>
      </c>
      <c r="R659" s="7" t="s">
        <v>52</v>
      </c>
      <c r="S659" s="7" t="s">
        <v>568</v>
      </c>
      <c r="T659" s="7"/>
      <c r="U659" s="7"/>
      <c r="V659" s="7"/>
      <c r="W659" s="7"/>
      <c r="X659" s="7"/>
      <c r="Y659" s="7">
        <v>20</v>
      </c>
      <c r="Z659" s="7">
        <v>20</v>
      </c>
      <c r="AA659" s="7" t="s">
        <v>569</v>
      </c>
      <c r="AB659" s="7">
        <f t="shared" si="47"/>
        <v>6.666666666666667</v>
      </c>
      <c r="AC659" s="7">
        <f t="shared" si="49"/>
        <v>6.666666666666667</v>
      </c>
      <c r="AD659" s="7"/>
      <c r="AE659" s="7"/>
      <c r="AF659" s="7"/>
      <c r="AG659" s="7"/>
      <c r="AH659" s="7"/>
      <c r="AI659" s="7"/>
      <c r="AJ659" s="7"/>
      <c r="AK659" s="7"/>
      <c r="AL659" s="9"/>
      <c r="AM659" s="7" t="s">
        <v>71</v>
      </c>
      <c r="AN659" s="7" t="s">
        <v>71</v>
      </c>
      <c r="AO659" s="12"/>
    </row>
    <row r="660" spans="1:41" s="11" customFormat="1" x14ac:dyDescent="0.25">
      <c r="A660" s="2">
        <v>659</v>
      </c>
      <c r="B660" s="7" t="s">
        <v>555</v>
      </c>
      <c r="C660" s="7" t="s">
        <v>78</v>
      </c>
      <c r="D660" s="7">
        <v>122</v>
      </c>
      <c r="E660" s="7">
        <v>122</v>
      </c>
      <c r="F660" s="8">
        <v>1</v>
      </c>
      <c r="G660" s="8">
        <v>1</v>
      </c>
      <c r="H660" s="7">
        <v>1</v>
      </c>
      <c r="I660" s="7">
        <v>1</v>
      </c>
      <c r="J660" s="9" t="s">
        <v>219</v>
      </c>
      <c r="K660" s="7">
        <v>11</v>
      </c>
      <c r="L660" s="7" t="s">
        <v>52</v>
      </c>
      <c r="M660" s="7">
        <f t="shared" si="48"/>
        <v>1</v>
      </c>
      <c r="N660" s="9" t="s">
        <v>82</v>
      </c>
      <c r="O660" s="7">
        <v>0</v>
      </c>
      <c r="P660" s="9" t="s">
        <v>36</v>
      </c>
      <c r="Q660" s="7" t="s">
        <v>38</v>
      </c>
      <c r="R660" s="7" t="s">
        <v>38</v>
      </c>
      <c r="S660" s="10" t="s">
        <v>1882</v>
      </c>
      <c r="T660" s="7">
        <v>20</v>
      </c>
      <c r="U660" s="7">
        <v>20</v>
      </c>
      <c r="V660" s="7">
        <v>190</v>
      </c>
      <c r="W660" s="7" t="s">
        <v>570</v>
      </c>
      <c r="X660" s="7"/>
      <c r="Y660" s="7"/>
      <c r="Z660" s="7"/>
      <c r="AA660" s="7"/>
      <c r="AB660" s="7">
        <f t="shared" si="47"/>
        <v>6.666666666666667</v>
      </c>
      <c r="AC660" s="7">
        <f t="shared" si="49"/>
        <v>6.666666666666667</v>
      </c>
      <c r="AD660" s="7"/>
      <c r="AE660" s="7">
        <v>1</v>
      </c>
      <c r="AF660" s="7" t="s">
        <v>155</v>
      </c>
      <c r="AG660" s="7"/>
      <c r="AH660" s="7"/>
      <c r="AI660" s="7"/>
      <c r="AJ660" s="7"/>
      <c r="AK660" s="7"/>
      <c r="AL660" s="9"/>
      <c r="AM660" s="7" t="s">
        <v>571</v>
      </c>
      <c r="AN660" s="7" t="s">
        <v>662</v>
      </c>
      <c r="AO660" s="12"/>
    </row>
    <row r="661" spans="1:41" s="11" customFormat="1" ht="84" x14ac:dyDescent="0.25">
      <c r="A661" s="2">
        <v>660</v>
      </c>
      <c r="B661" s="7" t="s">
        <v>555</v>
      </c>
      <c r="C661" s="7" t="s">
        <v>78</v>
      </c>
      <c r="D661" s="7">
        <v>153</v>
      </c>
      <c r="E661" s="7">
        <v>153</v>
      </c>
      <c r="F661" s="8">
        <v>1</v>
      </c>
      <c r="G661" s="8">
        <v>1</v>
      </c>
      <c r="H661" s="7">
        <v>1</v>
      </c>
      <c r="I661" s="7">
        <v>1</v>
      </c>
      <c r="J661" s="9" t="s">
        <v>219</v>
      </c>
      <c r="K661" s="7">
        <v>6</v>
      </c>
      <c r="L661" s="7" t="s">
        <v>52</v>
      </c>
      <c r="M661" s="7">
        <f t="shared" si="48"/>
        <v>1</v>
      </c>
      <c r="N661" s="9" t="s">
        <v>34</v>
      </c>
      <c r="O661" s="7">
        <v>3</v>
      </c>
      <c r="P661" s="9" t="s">
        <v>37</v>
      </c>
      <c r="Q661" s="7" t="s">
        <v>38</v>
      </c>
      <c r="R661" s="7" t="s">
        <v>38</v>
      </c>
      <c r="S661" s="10" t="s">
        <v>1883</v>
      </c>
      <c r="T661" s="7">
        <v>10</v>
      </c>
      <c r="U661" s="7">
        <v>10</v>
      </c>
      <c r="V661" s="7">
        <v>210</v>
      </c>
      <c r="W661" s="7" t="s">
        <v>572</v>
      </c>
      <c r="X661" s="7"/>
      <c r="Y661" s="7"/>
      <c r="Z661" s="7"/>
      <c r="AA661" s="7"/>
      <c r="AB661" s="7">
        <f t="shared" si="47"/>
        <v>3.3333333333333335</v>
      </c>
      <c r="AC661" s="7">
        <f t="shared" si="49"/>
        <v>3.3333333333333335</v>
      </c>
      <c r="AD661" s="7"/>
      <c r="AE661" s="7">
        <v>1</v>
      </c>
      <c r="AF661" s="7" t="s">
        <v>155</v>
      </c>
      <c r="AG661" s="7" t="s">
        <v>573</v>
      </c>
      <c r="AH661" s="7"/>
      <c r="AI661" s="7"/>
      <c r="AJ661" s="10" t="s">
        <v>2358</v>
      </c>
      <c r="AK661" s="7"/>
      <c r="AL661" s="9"/>
      <c r="AM661" s="7" t="s">
        <v>571</v>
      </c>
      <c r="AN661" s="7" t="s">
        <v>662</v>
      </c>
      <c r="AO661" s="12"/>
    </row>
    <row r="662" spans="1:41" s="11" customFormat="1" x14ac:dyDescent="0.25">
      <c r="A662" s="2">
        <v>661</v>
      </c>
      <c r="B662" s="7" t="s">
        <v>555</v>
      </c>
      <c r="C662" s="7" t="s">
        <v>89</v>
      </c>
      <c r="D662" s="7">
        <v>15</v>
      </c>
      <c r="E662" s="7">
        <v>15</v>
      </c>
      <c r="F662" s="8">
        <v>1</v>
      </c>
      <c r="G662" s="8">
        <v>2</v>
      </c>
      <c r="H662" s="7">
        <v>2</v>
      </c>
      <c r="I662" s="7">
        <v>2</v>
      </c>
      <c r="J662" s="9" t="s">
        <v>219</v>
      </c>
      <c r="K662" s="7">
        <v>1</v>
      </c>
      <c r="L662" s="7" t="s">
        <v>52</v>
      </c>
      <c r="M662" s="7">
        <f t="shared" si="48"/>
        <v>1</v>
      </c>
      <c r="N662" s="9"/>
      <c r="O662" s="7"/>
      <c r="P662" s="9"/>
      <c r="Q662" s="7"/>
      <c r="R662" s="7"/>
      <c r="S662" s="7"/>
      <c r="T662" s="7"/>
      <c r="U662" s="7"/>
      <c r="V662" s="7"/>
      <c r="W662" s="7"/>
      <c r="X662" s="7">
        <v>3</v>
      </c>
      <c r="Y662" s="7"/>
      <c r="Z662" s="7"/>
      <c r="AA662" s="7"/>
      <c r="AB662" s="7">
        <f t="shared" si="47"/>
        <v>1</v>
      </c>
      <c r="AC662" s="7">
        <f t="shared" si="49"/>
        <v>1</v>
      </c>
      <c r="AD662" s="7"/>
      <c r="AE662" s="7"/>
      <c r="AF662" s="7"/>
      <c r="AG662" s="7"/>
      <c r="AH662" s="7"/>
      <c r="AI662" s="7"/>
      <c r="AJ662" s="7"/>
      <c r="AK662" s="7"/>
      <c r="AL662" s="9"/>
      <c r="AM662" s="7" t="s">
        <v>71</v>
      </c>
      <c r="AN662" s="7" t="s">
        <v>71</v>
      </c>
      <c r="AO662" s="12"/>
    </row>
    <row r="663" spans="1:41" s="11" customFormat="1" x14ac:dyDescent="0.25">
      <c r="A663" s="2">
        <v>662</v>
      </c>
      <c r="B663" s="7" t="s">
        <v>555</v>
      </c>
      <c r="C663" s="7" t="s">
        <v>89</v>
      </c>
      <c r="D663" s="7">
        <v>18</v>
      </c>
      <c r="E663" s="7">
        <v>18</v>
      </c>
      <c r="F663" s="8">
        <v>1</v>
      </c>
      <c r="G663" s="8">
        <v>1</v>
      </c>
      <c r="H663" s="7">
        <v>1</v>
      </c>
      <c r="I663" s="7">
        <v>1</v>
      </c>
      <c r="J663" s="9" t="s">
        <v>219</v>
      </c>
      <c r="K663" s="7">
        <v>8</v>
      </c>
      <c r="L663" s="7" t="s">
        <v>52</v>
      </c>
      <c r="M663" s="7">
        <f t="shared" si="48"/>
        <v>1</v>
      </c>
      <c r="N663" s="9"/>
      <c r="O663" s="7"/>
      <c r="P663" s="9"/>
      <c r="Q663" s="7"/>
      <c r="R663" s="7"/>
      <c r="S663" s="7"/>
      <c r="T663" s="7"/>
      <c r="U663" s="7"/>
      <c r="V663" s="7"/>
      <c r="W663" s="7"/>
      <c r="X663" s="7">
        <v>3</v>
      </c>
      <c r="Y663" s="7"/>
      <c r="Z663" s="7"/>
      <c r="AA663" s="7"/>
      <c r="AB663" s="7">
        <f t="shared" si="47"/>
        <v>1</v>
      </c>
      <c r="AC663" s="7">
        <f t="shared" si="49"/>
        <v>1</v>
      </c>
      <c r="AD663" s="7"/>
      <c r="AE663" s="7"/>
      <c r="AF663" s="7"/>
      <c r="AG663" s="7"/>
      <c r="AH663" s="7"/>
      <c r="AI663" s="7"/>
      <c r="AJ663" s="7"/>
      <c r="AK663" s="7"/>
      <c r="AL663" s="9"/>
      <c r="AM663" s="7" t="s">
        <v>71</v>
      </c>
      <c r="AN663" s="7" t="s">
        <v>71</v>
      </c>
      <c r="AO663" s="12"/>
    </row>
    <row r="664" spans="1:41" s="11" customFormat="1" x14ac:dyDescent="0.25">
      <c r="A664" s="2">
        <v>663</v>
      </c>
      <c r="B664" s="7" t="s">
        <v>555</v>
      </c>
      <c r="C664" s="7" t="s">
        <v>89</v>
      </c>
      <c r="D664" s="7" t="s">
        <v>574</v>
      </c>
      <c r="E664" s="7">
        <v>24</v>
      </c>
      <c r="F664" s="8">
        <v>2</v>
      </c>
      <c r="G664" s="8">
        <v>2</v>
      </c>
      <c r="H664" s="7" t="s">
        <v>87</v>
      </c>
      <c r="I664" s="7">
        <v>2</v>
      </c>
      <c r="J664" s="9" t="s">
        <v>219</v>
      </c>
      <c r="K664" s="7">
        <v>11</v>
      </c>
      <c r="L664" s="7" t="s">
        <v>52</v>
      </c>
      <c r="M664" s="7">
        <f t="shared" si="48"/>
        <v>2</v>
      </c>
      <c r="N664" s="9"/>
      <c r="O664" s="7"/>
      <c r="P664" s="9"/>
      <c r="Q664" s="7"/>
      <c r="R664" s="7"/>
      <c r="S664" s="7"/>
      <c r="T664" s="7"/>
      <c r="U664" s="7"/>
      <c r="V664" s="7"/>
      <c r="W664" s="7"/>
      <c r="X664" s="7">
        <v>3</v>
      </c>
      <c r="Y664" s="7"/>
      <c r="Z664" s="7"/>
      <c r="AA664" s="7"/>
      <c r="AB664" s="7">
        <f t="shared" si="47"/>
        <v>1</v>
      </c>
      <c r="AC664" s="7">
        <f t="shared" si="49"/>
        <v>1</v>
      </c>
      <c r="AD664" s="7"/>
      <c r="AE664" s="7"/>
      <c r="AF664" s="7"/>
      <c r="AG664" s="7"/>
      <c r="AH664" s="7"/>
      <c r="AI664" s="7"/>
      <c r="AJ664" s="7"/>
      <c r="AK664" s="7"/>
      <c r="AL664" s="9"/>
      <c r="AM664" s="7" t="s">
        <v>71</v>
      </c>
      <c r="AN664" s="7" t="s">
        <v>71</v>
      </c>
      <c r="AO664" s="12"/>
    </row>
    <row r="665" spans="1:41" s="11" customFormat="1" x14ac:dyDescent="0.25">
      <c r="A665" s="2">
        <v>664</v>
      </c>
      <c r="B665" s="7" t="s">
        <v>555</v>
      </c>
      <c r="C665" s="7" t="s">
        <v>100</v>
      </c>
      <c r="D665" s="7">
        <v>27</v>
      </c>
      <c r="E665" s="7">
        <v>27</v>
      </c>
      <c r="F665" s="8">
        <v>1</v>
      </c>
      <c r="G665" s="8">
        <v>1</v>
      </c>
      <c r="H665" s="7">
        <v>1</v>
      </c>
      <c r="I665" s="7">
        <v>1</v>
      </c>
      <c r="J665" s="9" t="s">
        <v>219</v>
      </c>
      <c r="K665" s="7"/>
      <c r="L665" s="7" t="s">
        <v>52</v>
      </c>
      <c r="M665" s="7">
        <f t="shared" si="48"/>
        <v>1</v>
      </c>
      <c r="N665" s="9"/>
      <c r="O665" s="7"/>
      <c r="P665" s="9"/>
      <c r="Q665" s="7"/>
      <c r="R665" s="7"/>
      <c r="S665" s="7"/>
      <c r="T665" s="7"/>
      <c r="U665" s="7"/>
      <c r="V665" s="7"/>
      <c r="W665" s="7"/>
      <c r="X665" s="7">
        <v>3</v>
      </c>
      <c r="Y665" s="7"/>
      <c r="Z665" s="7"/>
      <c r="AA665" s="7"/>
      <c r="AB665" s="7">
        <f t="shared" si="47"/>
        <v>1</v>
      </c>
      <c r="AC665" s="7">
        <f t="shared" si="49"/>
        <v>1</v>
      </c>
      <c r="AD665" s="7"/>
      <c r="AE665" s="7"/>
      <c r="AF665" s="7"/>
      <c r="AG665" s="7"/>
      <c r="AH665" s="7"/>
      <c r="AI665" s="7"/>
      <c r="AJ665" s="7"/>
      <c r="AK665" s="7"/>
      <c r="AL665" s="9"/>
      <c r="AM665" s="7" t="s">
        <v>71</v>
      </c>
      <c r="AN665" s="7" t="s">
        <v>71</v>
      </c>
      <c r="AO665" s="12"/>
    </row>
    <row r="666" spans="1:41" s="11" customFormat="1" ht="24" x14ac:dyDescent="0.25">
      <c r="A666" s="2">
        <v>665</v>
      </c>
      <c r="B666" s="7" t="s">
        <v>555</v>
      </c>
      <c r="C666" s="7" t="s">
        <v>78</v>
      </c>
      <c r="D666" s="7">
        <v>14</v>
      </c>
      <c r="E666" s="7">
        <v>14</v>
      </c>
      <c r="F666" s="8">
        <v>1</v>
      </c>
      <c r="G666" s="8">
        <v>1</v>
      </c>
      <c r="H666" s="7">
        <v>1</v>
      </c>
      <c r="I666" s="7">
        <v>1</v>
      </c>
      <c r="J666" s="9" t="s">
        <v>219</v>
      </c>
      <c r="K666" s="7">
        <v>1</v>
      </c>
      <c r="L666" s="7" t="s">
        <v>52</v>
      </c>
      <c r="M666" s="7">
        <f t="shared" si="48"/>
        <v>1</v>
      </c>
      <c r="N666" s="9" t="s">
        <v>37</v>
      </c>
      <c r="O666" s="7">
        <v>2</v>
      </c>
      <c r="P666" s="9" t="s">
        <v>63</v>
      </c>
      <c r="Q666" s="7" t="s">
        <v>38</v>
      </c>
      <c r="R666" s="7" t="s">
        <v>38</v>
      </c>
      <c r="S666" s="10" t="s">
        <v>1740</v>
      </c>
      <c r="T666" s="7">
        <v>5</v>
      </c>
      <c r="U666" s="7">
        <v>5</v>
      </c>
      <c r="V666" s="7">
        <v>170</v>
      </c>
      <c r="W666" s="7" t="s">
        <v>239</v>
      </c>
      <c r="X666" s="7"/>
      <c r="Y666" s="7"/>
      <c r="Z666" s="7"/>
      <c r="AA666" s="7"/>
      <c r="AB666" s="7">
        <f t="shared" si="47"/>
        <v>1.6666666666666667</v>
      </c>
      <c r="AC666" s="7">
        <f t="shared" si="49"/>
        <v>1.6666666666666667</v>
      </c>
      <c r="AD666" s="7"/>
      <c r="AE666" s="7"/>
      <c r="AF666" s="7"/>
      <c r="AG666" s="7"/>
      <c r="AH666" s="7"/>
      <c r="AI666" s="7"/>
      <c r="AJ666" s="7"/>
      <c r="AK666" s="7"/>
      <c r="AL666" s="9"/>
      <c r="AM666" s="7" t="s">
        <v>71</v>
      </c>
      <c r="AN666" s="7" t="s">
        <v>71</v>
      </c>
      <c r="AO666" s="12"/>
    </row>
    <row r="667" spans="1:41" s="11" customFormat="1" ht="48" x14ac:dyDescent="0.25">
      <c r="A667" s="2">
        <v>666</v>
      </c>
      <c r="B667" s="7" t="s">
        <v>555</v>
      </c>
      <c r="C667" s="7" t="s">
        <v>174</v>
      </c>
      <c r="D667" s="7" t="s">
        <v>575</v>
      </c>
      <c r="E667" s="7">
        <f>76+5</f>
        <v>81</v>
      </c>
      <c r="F667" s="8">
        <v>1</v>
      </c>
      <c r="G667" s="8">
        <v>3</v>
      </c>
      <c r="H667" s="7">
        <v>3</v>
      </c>
      <c r="I667" s="7">
        <v>3</v>
      </c>
      <c r="J667" s="9" t="s">
        <v>219</v>
      </c>
      <c r="K667" s="7">
        <v>1</v>
      </c>
      <c r="L667" s="7" t="s">
        <v>52</v>
      </c>
      <c r="M667" s="7">
        <f t="shared" si="48"/>
        <v>1</v>
      </c>
      <c r="N667" s="9" t="s">
        <v>37</v>
      </c>
      <c r="O667" s="7">
        <v>0</v>
      </c>
      <c r="P667" s="9" t="s">
        <v>63</v>
      </c>
      <c r="Q667" s="7" t="s">
        <v>38</v>
      </c>
      <c r="R667" s="7" t="s">
        <v>52</v>
      </c>
      <c r="S667" s="10" t="s">
        <v>1884</v>
      </c>
      <c r="T667" s="7">
        <v>6</v>
      </c>
      <c r="U667" s="7">
        <v>6</v>
      </c>
      <c r="V667" s="7">
        <v>370</v>
      </c>
      <c r="W667" s="7" t="s">
        <v>576</v>
      </c>
      <c r="X667" s="7">
        <v>3</v>
      </c>
      <c r="Y667" s="7"/>
      <c r="Z667" s="7"/>
      <c r="AA667" s="7"/>
      <c r="AB667" s="7">
        <f t="shared" si="47"/>
        <v>3</v>
      </c>
      <c r="AC667" s="7">
        <f t="shared" si="49"/>
        <v>3</v>
      </c>
      <c r="AD667" s="7"/>
      <c r="AE667" s="7"/>
      <c r="AF667" s="7"/>
      <c r="AG667" s="7"/>
      <c r="AH667" s="7"/>
      <c r="AI667" s="7"/>
      <c r="AJ667" s="10" t="s">
        <v>778</v>
      </c>
      <c r="AK667" s="7"/>
      <c r="AL667" s="9"/>
      <c r="AM667" s="7" t="s">
        <v>215</v>
      </c>
      <c r="AN667" s="7" t="s">
        <v>2850</v>
      </c>
      <c r="AO667" s="12"/>
    </row>
    <row r="668" spans="1:41" s="11" customFormat="1" x14ac:dyDescent="0.25">
      <c r="A668" s="2">
        <v>667</v>
      </c>
      <c r="B668" s="7" t="s">
        <v>555</v>
      </c>
      <c r="C668" s="7" t="s">
        <v>577</v>
      </c>
      <c r="D668" s="7">
        <v>214</v>
      </c>
      <c r="E668" s="7">
        <v>214</v>
      </c>
      <c r="F668" s="8">
        <v>7</v>
      </c>
      <c r="G668" s="8">
        <v>7</v>
      </c>
      <c r="H668" s="7" t="s">
        <v>122</v>
      </c>
      <c r="I668" s="7">
        <v>7</v>
      </c>
      <c r="J668" s="9" t="s">
        <v>578</v>
      </c>
      <c r="K668" s="7"/>
      <c r="L668" s="7" t="s">
        <v>38</v>
      </c>
      <c r="M668" s="7">
        <f t="shared" si="48"/>
        <v>0</v>
      </c>
      <c r="N668" s="9"/>
      <c r="O668" s="7"/>
      <c r="P668" s="9"/>
      <c r="Q668" s="7"/>
      <c r="R668" s="7"/>
      <c r="S668" s="7"/>
      <c r="T668" s="7"/>
      <c r="U668" s="7"/>
      <c r="V668" s="7"/>
      <c r="W668" s="7"/>
      <c r="X668" s="7"/>
      <c r="Y668" s="7"/>
      <c r="Z668" s="7"/>
      <c r="AA668" s="7"/>
      <c r="AB668" s="7">
        <v>0.33333333333333298</v>
      </c>
      <c r="AC668" s="7">
        <f t="shared" si="49"/>
        <v>0</v>
      </c>
      <c r="AD668" s="7"/>
      <c r="AE668" s="7"/>
      <c r="AF668" s="7"/>
      <c r="AG668" s="7"/>
      <c r="AH668" s="7"/>
      <c r="AI668" s="7"/>
      <c r="AJ668" s="7"/>
      <c r="AK668" s="7"/>
      <c r="AL668" s="9"/>
      <c r="AM668" s="7"/>
      <c r="AN668" s="7"/>
      <c r="AO668" s="15" t="s">
        <v>2559</v>
      </c>
    </row>
    <row r="669" spans="1:41" s="11" customFormat="1" x14ac:dyDescent="0.25">
      <c r="A669" s="2">
        <v>668</v>
      </c>
      <c r="B669" s="7" t="s">
        <v>579</v>
      </c>
      <c r="C669" s="7" t="s">
        <v>78</v>
      </c>
      <c r="D669" s="7">
        <v>1</v>
      </c>
      <c r="E669" s="7">
        <v>1</v>
      </c>
      <c r="F669" s="8">
        <v>1</v>
      </c>
      <c r="G669" s="8">
        <v>1</v>
      </c>
      <c r="H669" s="7">
        <v>1</v>
      </c>
      <c r="I669" s="7">
        <v>1</v>
      </c>
      <c r="J669" s="9" t="s">
        <v>70</v>
      </c>
      <c r="K669" s="7">
        <v>2</v>
      </c>
      <c r="L669" s="7" t="s">
        <v>52</v>
      </c>
      <c r="M669" s="7">
        <f t="shared" si="48"/>
        <v>1</v>
      </c>
      <c r="N669" s="9" t="s">
        <v>34</v>
      </c>
      <c r="O669" s="7">
        <v>0</v>
      </c>
      <c r="P669" s="9" t="s">
        <v>63</v>
      </c>
      <c r="Q669" s="7" t="s">
        <v>38</v>
      </c>
      <c r="R669" s="7" t="s">
        <v>38</v>
      </c>
      <c r="S669" s="7"/>
      <c r="T669" s="7">
        <v>6</v>
      </c>
      <c r="U669" s="7">
        <v>6</v>
      </c>
      <c r="V669" s="7">
        <v>100</v>
      </c>
      <c r="W669" s="7" t="s">
        <v>88</v>
      </c>
      <c r="X669" s="7"/>
      <c r="Y669" s="7"/>
      <c r="Z669" s="7"/>
      <c r="AA669" s="7"/>
      <c r="AB669" s="7">
        <f t="shared" ref="AB669:AB696" si="50">(U669+X669+Z669)/3</f>
        <v>2</v>
      </c>
      <c r="AC669" s="7">
        <f t="shared" si="49"/>
        <v>2</v>
      </c>
      <c r="AD669" s="7"/>
      <c r="AE669" s="7"/>
      <c r="AF669" s="7"/>
      <c r="AG669" s="7"/>
      <c r="AH669" s="7"/>
      <c r="AI669" s="7"/>
      <c r="AJ669" s="7"/>
      <c r="AK669" s="7"/>
      <c r="AL669" s="9"/>
      <c r="AM669" s="7" t="s">
        <v>42</v>
      </c>
      <c r="AN669" s="7" t="s">
        <v>42</v>
      </c>
      <c r="AO669" s="12"/>
    </row>
    <row r="670" spans="1:41" s="11" customFormat="1" x14ac:dyDescent="0.25">
      <c r="A670" s="2">
        <v>669</v>
      </c>
      <c r="B670" s="7" t="s">
        <v>579</v>
      </c>
      <c r="C670" s="7" t="s">
        <v>89</v>
      </c>
      <c r="D670" s="7" t="s">
        <v>580</v>
      </c>
      <c r="E670" s="7">
        <v>15</v>
      </c>
      <c r="F670" s="8">
        <v>8</v>
      </c>
      <c r="G670" s="8">
        <v>8</v>
      </c>
      <c r="H670" s="7" t="s">
        <v>258</v>
      </c>
      <c r="I670" s="7">
        <v>8</v>
      </c>
      <c r="J670" s="9" t="s">
        <v>35</v>
      </c>
      <c r="K670" s="7"/>
      <c r="L670" s="7" t="s">
        <v>52</v>
      </c>
      <c r="M670" s="7">
        <f t="shared" si="48"/>
        <v>8</v>
      </c>
      <c r="N670" s="9"/>
      <c r="O670" s="7"/>
      <c r="P670" s="9"/>
      <c r="Q670" s="7"/>
      <c r="R670" s="7"/>
      <c r="S670" s="7"/>
      <c r="T670" s="7"/>
      <c r="U670" s="7"/>
      <c r="V670" s="7"/>
      <c r="W670" s="7"/>
      <c r="X670" s="7">
        <v>3</v>
      </c>
      <c r="Y670" s="7"/>
      <c r="Z670" s="7"/>
      <c r="AA670" s="7"/>
      <c r="AB670" s="7">
        <f t="shared" si="50"/>
        <v>1</v>
      </c>
      <c r="AC670" s="7">
        <f t="shared" si="49"/>
        <v>1</v>
      </c>
      <c r="AD670" s="7"/>
      <c r="AE670" s="7"/>
      <c r="AF670" s="7"/>
      <c r="AG670" s="7"/>
      <c r="AH670" s="7"/>
      <c r="AI670" s="7"/>
      <c r="AJ670" s="7"/>
      <c r="AK670" s="7"/>
      <c r="AL670" s="9"/>
      <c r="AM670" s="7" t="s">
        <v>71</v>
      </c>
      <c r="AN670" s="7" t="s">
        <v>71</v>
      </c>
      <c r="AO670" s="12"/>
    </row>
    <row r="671" spans="1:41" s="11" customFormat="1" x14ac:dyDescent="0.25">
      <c r="A671" s="2">
        <v>670</v>
      </c>
      <c r="B671" s="7" t="s">
        <v>579</v>
      </c>
      <c r="C671" s="7" t="s">
        <v>100</v>
      </c>
      <c r="D671" s="7">
        <v>11</v>
      </c>
      <c r="E671" s="7">
        <v>11</v>
      </c>
      <c r="F671" s="8">
        <v>1</v>
      </c>
      <c r="G671" s="8">
        <v>1</v>
      </c>
      <c r="H671" s="7">
        <v>1</v>
      </c>
      <c r="I671" s="7">
        <v>1</v>
      </c>
      <c r="J671" s="9" t="s">
        <v>219</v>
      </c>
      <c r="K671" s="7">
        <v>13</v>
      </c>
      <c r="L671" s="7" t="s">
        <v>52</v>
      </c>
      <c r="M671" s="7">
        <f t="shared" si="48"/>
        <v>1</v>
      </c>
      <c r="N671" s="9"/>
      <c r="O671" s="7"/>
      <c r="P671" s="9"/>
      <c r="Q671" s="7"/>
      <c r="R671" s="7"/>
      <c r="S671" s="7"/>
      <c r="T671" s="7"/>
      <c r="U671" s="7"/>
      <c r="V671" s="7"/>
      <c r="W671" s="7"/>
      <c r="X671" s="7">
        <v>3</v>
      </c>
      <c r="Y671" s="7"/>
      <c r="Z671" s="7"/>
      <c r="AA671" s="7"/>
      <c r="AB671" s="7">
        <f t="shared" si="50"/>
        <v>1</v>
      </c>
      <c r="AC671" s="7">
        <f t="shared" si="49"/>
        <v>1</v>
      </c>
      <c r="AD671" s="7"/>
      <c r="AE671" s="7"/>
      <c r="AF671" s="7"/>
      <c r="AG671" s="7"/>
      <c r="AH671" s="7"/>
      <c r="AI671" s="7"/>
      <c r="AJ671" s="7"/>
      <c r="AK671" s="7"/>
      <c r="AL671" s="9"/>
      <c r="AM671" s="7" t="s">
        <v>71</v>
      </c>
      <c r="AN671" s="7" t="s">
        <v>71</v>
      </c>
      <c r="AO671" s="12"/>
    </row>
    <row r="672" spans="1:41" s="11" customFormat="1" ht="36" x14ac:dyDescent="0.25">
      <c r="A672" s="2">
        <v>671</v>
      </c>
      <c r="B672" s="7" t="s">
        <v>579</v>
      </c>
      <c r="C672" s="7" t="s">
        <v>44</v>
      </c>
      <c r="D672" s="7" t="s">
        <v>581</v>
      </c>
      <c r="E672" s="7">
        <v>18</v>
      </c>
      <c r="F672" s="8">
        <v>1</v>
      </c>
      <c r="G672" s="8">
        <v>4</v>
      </c>
      <c r="H672" s="7">
        <v>4</v>
      </c>
      <c r="I672" s="7">
        <v>4</v>
      </c>
      <c r="J672" s="9" t="s">
        <v>176</v>
      </c>
      <c r="K672" s="9" t="s">
        <v>189</v>
      </c>
      <c r="L672" s="7" t="s">
        <v>52</v>
      </c>
      <c r="M672" s="7">
        <f t="shared" si="48"/>
        <v>1</v>
      </c>
      <c r="N672" s="9" t="s">
        <v>177</v>
      </c>
      <c r="O672" s="7">
        <v>0</v>
      </c>
      <c r="P672" s="9" t="s">
        <v>63</v>
      </c>
      <c r="Q672" s="9" t="s">
        <v>38</v>
      </c>
      <c r="R672" s="9" t="s">
        <v>38</v>
      </c>
      <c r="S672" s="13" t="s">
        <v>1885</v>
      </c>
      <c r="T672" s="7"/>
      <c r="U672" s="7"/>
      <c r="V672" s="7"/>
      <c r="W672" s="7"/>
      <c r="X672" s="7">
        <v>10</v>
      </c>
      <c r="Y672" s="7">
        <v>55</v>
      </c>
      <c r="Z672" s="7">
        <v>55</v>
      </c>
      <c r="AA672" s="7">
        <v>35</v>
      </c>
      <c r="AB672" s="7">
        <f t="shared" si="50"/>
        <v>21.666666666666668</v>
      </c>
      <c r="AC672" s="7">
        <f t="shared" si="49"/>
        <v>21.666666666666668</v>
      </c>
      <c r="AD672" s="7"/>
      <c r="AE672" s="7"/>
      <c r="AF672" s="7"/>
      <c r="AG672" s="7"/>
      <c r="AH672" s="7"/>
      <c r="AI672" s="7"/>
      <c r="AJ672" s="7"/>
      <c r="AK672" s="7"/>
      <c r="AL672" s="9"/>
      <c r="AM672" s="7" t="s">
        <v>582</v>
      </c>
      <c r="AN672" s="7" t="s">
        <v>2851</v>
      </c>
      <c r="AO672" s="12"/>
    </row>
    <row r="673" spans="1:41" s="11" customFormat="1" ht="48" x14ac:dyDescent="0.25">
      <c r="A673" s="2">
        <v>672</v>
      </c>
      <c r="B673" s="7" t="s">
        <v>579</v>
      </c>
      <c r="C673" s="7" t="s">
        <v>44</v>
      </c>
      <c r="D673" s="7" t="s">
        <v>583</v>
      </c>
      <c r="E673" s="7">
        <v>71</v>
      </c>
      <c r="F673" s="8">
        <v>1</v>
      </c>
      <c r="G673" s="8">
        <v>5</v>
      </c>
      <c r="H673" s="7" t="s">
        <v>584</v>
      </c>
      <c r="I673" s="7">
        <v>5</v>
      </c>
      <c r="J673" s="9" t="s">
        <v>176</v>
      </c>
      <c r="K673" s="7">
        <v>2</v>
      </c>
      <c r="L673" s="7" t="s">
        <v>52</v>
      </c>
      <c r="M673" s="7">
        <f t="shared" si="48"/>
        <v>1</v>
      </c>
      <c r="N673" s="9" t="s">
        <v>109</v>
      </c>
      <c r="O673" s="7">
        <v>0</v>
      </c>
      <c r="P673" s="9" t="s">
        <v>63</v>
      </c>
      <c r="Q673" s="7" t="s">
        <v>38</v>
      </c>
      <c r="R673" s="7" t="s">
        <v>38</v>
      </c>
      <c r="S673" s="10" t="s">
        <v>1886</v>
      </c>
      <c r="T673" s="7">
        <v>50</v>
      </c>
      <c r="U673" s="7">
        <v>50</v>
      </c>
      <c r="V673" s="7">
        <v>60</v>
      </c>
      <c r="W673" s="7" t="s">
        <v>585</v>
      </c>
      <c r="X673" s="7">
        <v>15</v>
      </c>
      <c r="Y673" s="7">
        <v>95</v>
      </c>
      <c r="Z673" s="7">
        <v>95</v>
      </c>
      <c r="AA673" s="7">
        <v>50</v>
      </c>
      <c r="AB673" s="7">
        <f t="shared" si="50"/>
        <v>53.333333333333336</v>
      </c>
      <c r="AC673" s="7">
        <f t="shared" si="49"/>
        <v>53.333333333333336</v>
      </c>
      <c r="AD673" s="7"/>
      <c r="AE673" s="7"/>
      <c r="AF673" s="7"/>
      <c r="AG673" s="7"/>
      <c r="AH673" s="7"/>
      <c r="AI673" s="7"/>
      <c r="AJ673" s="7"/>
      <c r="AK673" s="7"/>
      <c r="AL673" s="9"/>
      <c r="AM673" s="7" t="s">
        <v>582</v>
      </c>
      <c r="AN673" s="7" t="s">
        <v>2851</v>
      </c>
      <c r="AO673" s="15" t="s">
        <v>2560</v>
      </c>
    </row>
    <row r="674" spans="1:41" s="11" customFormat="1" x14ac:dyDescent="0.25">
      <c r="A674" s="2">
        <v>673</v>
      </c>
      <c r="B674" s="7" t="s">
        <v>579</v>
      </c>
      <c r="C674" s="7" t="s">
        <v>89</v>
      </c>
      <c r="D674" s="7" t="s">
        <v>586</v>
      </c>
      <c r="E674" s="7">
        <v>15</v>
      </c>
      <c r="F674" s="8">
        <v>5</v>
      </c>
      <c r="G674" s="8">
        <v>5</v>
      </c>
      <c r="H674" s="7" t="s">
        <v>345</v>
      </c>
      <c r="I674" s="7">
        <v>5</v>
      </c>
      <c r="J674" s="9" t="s">
        <v>176</v>
      </c>
      <c r="K674" s="7">
        <v>3</v>
      </c>
      <c r="L674" s="7" t="s">
        <v>52</v>
      </c>
      <c r="M674" s="7">
        <f t="shared" si="48"/>
        <v>5</v>
      </c>
      <c r="N674" s="9"/>
      <c r="O674" s="7"/>
      <c r="P674" s="9"/>
      <c r="Q674" s="7"/>
      <c r="R674" s="7"/>
      <c r="S674" s="7"/>
      <c r="T674" s="7"/>
      <c r="U674" s="7"/>
      <c r="V674" s="7"/>
      <c r="W674" s="7"/>
      <c r="X674" s="7">
        <v>3</v>
      </c>
      <c r="Y674" s="7"/>
      <c r="Z674" s="7"/>
      <c r="AA674" s="7"/>
      <c r="AB674" s="7">
        <f t="shared" si="50"/>
        <v>1</v>
      </c>
      <c r="AC674" s="7">
        <f t="shared" si="49"/>
        <v>1</v>
      </c>
      <c r="AD674" s="7"/>
      <c r="AE674" s="7"/>
      <c r="AF674" s="7"/>
      <c r="AG674" s="7"/>
      <c r="AH674" s="7"/>
      <c r="AI674" s="7"/>
      <c r="AJ674" s="7"/>
      <c r="AK674" s="7"/>
      <c r="AL674" s="9"/>
      <c r="AM674" s="7" t="s">
        <v>71</v>
      </c>
      <c r="AN674" s="7" t="s">
        <v>71</v>
      </c>
      <c r="AO674" s="12"/>
    </row>
    <row r="675" spans="1:41" s="11" customFormat="1" x14ac:dyDescent="0.25">
      <c r="A675" s="2">
        <v>674</v>
      </c>
      <c r="B675" s="7" t="s">
        <v>579</v>
      </c>
      <c r="C675" s="7" t="s">
        <v>100</v>
      </c>
      <c r="D675" s="7">
        <v>3</v>
      </c>
      <c r="E675" s="7">
        <v>3</v>
      </c>
      <c r="F675" s="8">
        <v>1</v>
      </c>
      <c r="G675" s="9"/>
      <c r="H675" s="7"/>
      <c r="I675" s="7"/>
      <c r="J675" s="9" t="s">
        <v>578</v>
      </c>
      <c r="K675" s="7"/>
      <c r="L675" s="7" t="s">
        <v>38</v>
      </c>
      <c r="M675" s="7">
        <f t="shared" si="48"/>
        <v>0</v>
      </c>
      <c r="N675" s="9"/>
      <c r="O675" s="7"/>
      <c r="P675" s="9"/>
      <c r="Q675" s="7"/>
      <c r="R675" s="7"/>
      <c r="S675" s="7"/>
      <c r="T675" s="7"/>
      <c r="U675" s="7"/>
      <c r="V675" s="7"/>
      <c r="W675" s="7"/>
      <c r="X675" s="7">
        <v>3</v>
      </c>
      <c r="Y675" s="7"/>
      <c r="Z675" s="7"/>
      <c r="AA675" s="7"/>
      <c r="AB675" s="7">
        <f t="shared" si="50"/>
        <v>1</v>
      </c>
      <c r="AC675" s="7">
        <f t="shared" si="49"/>
        <v>0</v>
      </c>
      <c r="AD675" s="7"/>
      <c r="AE675" s="7"/>
      <c r="AF675" s="7"/>
      <c r="AG675" s="7"/>
      <c r="AH675" s="7"/>
      <c r="AI675" s="7"/>
      <c r="AJ675" s="7"/>
      <c r="AK675" s="7"/>
      <c r="AL675" s="9"/>
      <c r="AM675" s="7" t="s">
        <v>71</v>
      </c>
      <c r="AN675" s="7" t="s">
        <v>71</v>
      </c>
      <c r="AO675" s="12"/>
    </row>
    <row r="676" spans="1:41" s="11" customFormat="1" ht="24" x14ac:dyDescent="0.25">
      <c r="A676" s="2">
        <v>675</v>
      </c>
      <c r="B676" s="7" t="s">
        <v>579</v>
      </c>
      <c r="C676" s="7" t="s">
        <v>32</v>
      </c>
      <c r="D676" s="7" t="s">
        <v>587</v>
      </c>
      <c r="E676" s="7">
        <f>109+36+9+7+3+2</f>
        <v>166</v>
      </c>
      <c r="F676" s="8">
        <v>1</v>
      </c>
      <c r="G676" s="9" t="s">
        <v>341</v>
      </c>
      <c r="H676" s="7" t="s">
        <v>110</v>
      </c>
      <c r="I676" s="7">
        <v>7</v>
      </c>
      <c r="J676" s="9" t="s">
        <v>35</v>
      </c>
      <c r="K676" s="7">
        <v>2</v>
      </c>
      <c r="L676" s="7" t="s">
        <v>52</v>
      </c>
      <c r="M676" s="7">
        <f t="shared" si="48"/>
        <v>1</v>
      </c>
      <c r="N676" s="9" t="s">
        <v>36</v>
      </c>
      <c r="O676" s="7">
        <v>0</v>
      </c>
      <c r="P676" s="9" t="s">
        <v>33</v>
      </c>
      <c r="Q676" s="7" t="s">
        <v>38</v>
      </c>
      <c r="R676" s="7" t="s">
        <v>38</v>
      </c>
      <c r="S676" s="10" t="s">
        <v>1887</v>
      </c>
      <c r="T676" s="7"/>
      <c r="U676" s="7"/>
      <c r="V676" s="7"/>
      <c r="W676" s="7"/>
      <c r="X676" s="7">
        <v>10</v>
      </c>
      <c r="Y676" s="7">
        <v>100</v>
      </c>
      <c r="Z676" s="7">
        <v>100</v>
      </c>
      <c r="AA676" s="7">
        <v>80</v>
      </c>
      <c r="AB676" s="7">
        <f t="shared" si="50"/>
        <v>36.666666666666664</v>
      </c>
      <c r="AC676" s="7">
        <f t="shared" si="49"/>
        <v>36.666666666666664</v>
      </c>
      <c r="AD676" s="7">
        <v>2</v>
      </c>
      <c r="AE676" s="7">
        <v>4</v>
      </c>
      <c r="AF676" s="7" t="s">
        <v>40</v>
      </c>
      <c r="AG676" s="7" t="s">
        <v>120</v>
      </c>
      <c r="AH676" s="7"/>
      <c r="AI676" s="7"/>
      <c r="AJ676" s="10" t="s">
        <v>588</v>
      </c>
      <c r="AK676" s="7"/>
      <c r="AL676" s="9" t="s">
        <v>38</v>
      </c>
      <c r="AM676" s="7" t="s">
        <v>589</v>
      </c>
      <c r="AN676" s="7" t="s">
        <v>42</v>
      </c>
      <c r="AO676" s="15" t="s">
        <v>2561</v>
      </c>
    </row>
    <row r="677" spans="1:41" s="11" customFormat="1" x14ac:dyDescent="0.25">
      <c r="A677" s="2">
        <v>676</v>
      </c>
      <c r="B677" s="7" t="s">
        <v>579</v>
      </c>
      <c r="C677" s="7" t="s">
        <v>50</v>
      </c>
      <c r="D677" s="7" t="s">
        <v>590</v>
      </c>
      <c r="E677" s="7">
        <f>64+17+9</f>
        <v>90</v>
      </c>
      <c r="F677" s="8">
        <v>1</v>
      </c>
      <c r="G677" s="9" t="s">
        <v>591</v>
      </c>
      <c r="H677" s="7" t="s">
        <v>146</v>
      </c>
      <c r="I677" s="7">
        <v>5</v>
      </c>
      <c r="J677" s="9" t="s">
        <v>35</v>
      </c>
      <c r="K677" s="7">
        <v>2</v>
      </c>
      <c r="L677" s="7" t="s">
        <v>52</v>
      </c>
      <c r="M677" s="7">
        <f t="shared" si="48"/>
        <v>1</v>
      </c>
      <c r="N677" s="9" t="s">
        <v>34</v>
      </c>
      <c r="O677" s="7">
        <v>0</v>
      </c>
      <c r="P677" s="9" t="s">
        <v>33</v>
      </c>
      <c r="Q677" s="7" t="s">
        <v>38</v>
      </c>
      <c r="R677" s="7" t="s">
        <v>38</v>
      </c>
      <c r="S677" s="13" t="s">
        <v>1888</v>
      </c>
      <c r="T677" s="7"/>
      <c r="U677" s="7"/>
      <c r="V677" s="7"/>
      <c r="W677" s="7"/>
      <c r="X677" s="7"/>
      <c r="Y677" s="7" t="s">
        <v>592</v>
      </c>
      <c r="Z677" s="7">
        <v>55</v>
      </c>
      <c r="AA677" s="7">
        <v>80</v>
      </c>
      <c r="AB677" s="7">
        <f t="shared" si="50"/>
        <v>18.333333333333332</v>
      </c>
      <c r="AC677" s="7">
        <f t="shared" si="49"/>
        <v>18.333333333333332</v>
      </c>
      <c r="AD677" s="7"/>
      <c r="AE677" s="7"/>
      <c r="AF677" s="7"/>
      <c r="AG677" s="7"/>
      <c r="AH677" s="7"/>
      <c r="AI677" s="7"/>
      <c r="AJ677" s="10" t="s">
        <v>588</v>
      </c>
      <c r="AK677" s="7"/>
      <c r="AL677" s="9"/>
      <c r="AM677" s="7" t="s">
        <v>589</v>
      </c>
      <c r="AN677" s="7" t="s">
        <v>42</v>
      </c>
      <c r="AO677" s="15" t="s">
        <v>2562</v>
      </c>
    </row>
    <row r="678" spans="1:41" s="11" customFormat="1" ht="24" x14ac:dyDescent="0.25">
      <c r="A678" s="2">
        <v>677</v>
      </c>
      <c r="B678" s="7" t="s">
        <v>579</v>
      </c>
      <c r="C678" s="7" t="s">
        <v>50</v>
      </c>
      <c r="D678" s="7" t="s">
        <v>593</v>
      </c>
      <c r="E678" s="7">
        <f>85+72+6</f>
        <v>163</v>
      </c>
      <c r="F678" s="8">
        <v>1</v>
      </c>
      <c r="G678" s="8">
        <v>4</v>
      </c>
      <c r="H678" s="7">
        <v>4</v>
      </c>
      <c r="I678" s="7">
        <v>4</v>
      </c>
      <c r="J678" s="9" t="s">
        <v>35</v>
      </c>
      <c r="K678" s="7">
        <v>2</v>
      </c>
      <c r="L678" s="7" t="s">
        <v>52</v>
      </c>
      <c r="M678" s="7">
        <f t="shared" si="48"/>
        <v>1</v>
      </c>
      <c r="N678" s="9" t="s">
        <v>34</v>
      </c>
      <c r="O678" s="7">
        <v>1</v>
      </c>
      <c r="P678" s="9" t="s">
        <v>33</v>
      </c>
      <c r="Q678" s="7" t="s">
        <v>38</v>
      </c>
      <c r="R678" s="7" t="s">
        <v>38</v>
      </c>
      <c r="S678" s="10" t="s">
        <v>1889</v>
      </c>
      <c r="T678" s="7"/>
      <c r="U678" s="7"/>
      <c r="V678" s="7"/>
      <c r="W678" s="7"/>
      <c r="X678" s="7"/>
      <c r="Y678" s="7">
        <v>50</v>
      </c>
      <c r="Z678" s="7">
        <v>50</v>
      </c>
      <c r="AA678" s="7">
        <v>125</v>
      </c>
      <c r="AB678" s="7">
        <f t="shared" si="50"/>
        <v>16.666666666666668</v>
      </c>
      <c r="AC678" s="7">
        <f t="shared" si="49"/>
        <v>16.666666666666668</v>
      </c>
      <c r="AD678" s="7"/>
      <c r="AE678" s="7"/>
      <c r="AF678" s="7"/>
      <c r="AG678" s="7"/>
      <c r="AH678" s="7"/>
      <c r="AI678" s="7"/>
      <c r="AJ678" s="7" t="s">
        <v>594</v>
      </c>
      <c r="AK678" s="7"/>
      <c r="AL678" s="9"/>
      <c r="AM678" s="7" t="s">
        <v>71</v>
      </c>
      <c r="AN678" s="7" t="s">
        <v>71</v>
      </c>
      <c r="AO678" s="12"/>
    </row>
    <row r="679" spans="1:41" s="11" customFormat="1" ht="36" x14ac:dyDescent="0.25">
      <c r="A679" s="2">
        <v>678</v>
      </c>
      <c r="B679" s="7" t="s">
        <v>579</v>
      </c>
      <c r="C679" s="7" t="s">
        <v>89</v>
      </c>
      <c r="D679" s="7" t="s">
        <v>595</v>
      </c>
      <c r="E679" s="7">
        <f>34+7+10+7</f>
        <v>58</v>
      </c>
      <c r="F679" s="8">
        <v>1</v>
      </c>
      <c r="G679" s="9" t="s">
        <v>596</v>
      </c>
      <c r="H679" s="7" t="s">
        <v>597</v>
      </c>
      <c r="I679" s="7">
        <v>8</v>
      </c>
      <c r="J679" s="9" t="s">
        <v>70</v>
      </c>
      <c r="K679" s="7">
        <v>2</v>
      </c>
      <c r="L679" s="7" t="s">
        <v>52</v>
      </c>
      <c r="M679" s="7">
        <f t="shared" si="48"/>
        <v>1</v>
      </c>
      <c r="N679" s="9" t="s">
        <v>82</v>
      </c>
      <c r="O679" s="7">
        <v>0</v>
      </c>
      <c r="P679" s="9" t="s">
        <v>36</v>
      </c>
      <c r="Q679" s="7" t="s">
        <v>52</v>
      </c>
      <c r="R679" s="7" t="s">
        <v>38</v>
      </c>
      <c r="S679" s="10" t="s">
        <v>1890</v>
      </c>
      <c r="T679" s="7">
        <v>20</v>
      </c>
      <c r="U679" s="7">
        <v>20</v>
      </c>
      <c r="V679" s="7">
        <v>35</v>
      </c>
      <c r="W679" s="7" t="s">
        <v>79</v>
      </c>
      <c r="X679" s="7">
        <v>5</v>
      </c>
      <c r="Y679" s="7"/>
      <c r="Z679" s="7"/>
      <c r="AA679" s="7"/>
      <c r="AB679" s="7">
        <f t="shared" si="50"/>
        <v>8.3333333333333339</v>
      </c>
      <c r="AC679" s="7">
        <f t="shared" si="49"/>
        <v>8.3333333333333339</v>
      </c>
      <c r="AD679" s="7"/>
      <c r="AE679" s="7">
        <v>1</v>
      </c>
      <c r="AF679" s="7" t="s">
        <v>308</v>
      </c>
      <c r="AG679" s="7" t="s">
        <v>598</v>
      </c>
      <c r="AH679" s="7"/>
      <c r="AI679" s="7"/>
      <c r="AJ679" s="7"/>
      <c r="AK679" s="7"/>
      <c r="AL679" s="9"/>
      <c r="AM679" s="7" t="s">
        <v>67</v>
      </c>
      <c r="AN679" s="7" t="s">
        <v>2847</v>
      </c>
      <c r="AO679" s="12"/>
    </row>
    <row r="680" spans="1:41" s="11" customFormat="1" ht="24" x14ac:dyDescent="0.25">
      <c r="A680" s="2">
        <v>679</v>
      </c>
      <c r="B680" s="7" t="s">
        <v>579</v>
      </c>
      <c r="C680" s="7" t="s">
        <v>78</v>
      </c>
      <c r="D680" s="7">
        <v>32</v>
      </c>
      <c r="E680" s="7">
        <v>32</v>
      </c>
      <c r="F680" s="8">
        <v>1</v>
      </c>
      <c r="G680" s="8">
        <v>1</v>
      </c>
      <c r="H680" s="7">
        <v>1</v>
      </c>
      <c r="I680" s="7">
        <v>1</v>
      </c>
      <c r="J680" s="9" t="s">
        <v>35</v>
      </c>
      <c r="K680" s="7">
        <v>2</v>
      </c>
      <c r="L680" s="7" t="s">
        <v>52</v>
      </c>
      <c r="M680" s="7">
        <f t="shared" si="48"/>
        <v>1</v>
      </c>
      <c r="N680" s="9" t="s">
        <v>37</v>
      </c>
      <c r="O680" s="7">
        <v>2</v>
      </c>
      <c r="P680" s="9" t="s">
        <v>33</v>
      </c>
      <c r="Q680" s="7" t="s">
        <v>38</v>
      </c>
      <c r="R680" s="7" t="s">
        <v>38</v>
      </c>
      <c r="S680" s="7" t="s">
        <v>307</v>
      </c>
      <c r="T680" s="7">
        <v>20</v>
      </c>
      <c r="U680" s="7">
        <v>20</v>
      </c>
      <c r="V680" s="7">
        <v>110</v>
      </c>
      <c r="W680" s="7" t="s">
        <v>83</v>
      </c>
      <c r="X680" s="7"/>
      <c r="Y680" s="7"/>
      <c r="Z680" s="7"/>
      <c r="AA680" s="7"/>
      <c r="AB680" s="7">
        <f t="shared" si="50"/>
        <v>6.666666666666667</v>
      </c>
      <c r="AC680" s="7">
        <f t="shared" si="49"/>
        <v>6.666666666666667</v>
      </c>
      <c r="AD680" s="7"/>
      <c r="AE680" s="7">
        <v>1</v>
      </c>
      <c r="AF680" s="7" t="s">
        <v>40</v>
      </c>
      <c r="AG680" s="7" t="s">
        <v>599</v>
      </c>
      <c r="AH680" s="7"/>
      <c r="AI680" s="7"/>
      <c r="AJ680" s="7"/>
      <c r="AK680" s="7" t="s">
        <v>600</v>
      </c>
      <c r="AL680" s="9"/>
      <c r="AM680" s="7" t="s">
        <v>340</v>
      </c>
      <c r="AN680" s="7" t="s">
        <v>2848</v>
      </c>
      <c r="AO680" s="12"/>
    </row>
    <row r="681" spans="1:41" s="11" customFormat="1" x14ac:dyDescent="0.25">
      <c r="A681" s="2">
        <v>680</v>
      </c>
      <c r="B681" s="7" t="s">
        <v>579</v>
      </c>
      <c r="C681" s="7" t="s">
        <v>100</v>
      </c>
      <c r="D681" s="7">
        <v>44</v>
      </c>
      <c r="E681" s="7">
        <v>44</v>
      </c>
      <c r="F681" s="8">
        <v>1</v>
      </c>
      <c r="G681" s="8">
        <v>1</v>
      </c>
      <c r="H681" s="7">
        <v>1</v>
      </c>
      <c r="I681" s="7">
        <v>1</v>
      </c>
      <c r="J681" s="9" t="s">
        <v>35</v>
      </c>
      <c r="K681" s="7">
        <v>1</v>
      </c>
      <c r="L681" s="7" t="s">
        <v>52</v>
      </c>
      <c r="M681" s="7">
        <f t="shared" si="48"/>
        <v>1</v>
      </c>
      <c r="N681" s="9" t="s">
        <v>34</v>
      </c>
      <c r="O681" s="7">
        <v>2</v>
      </c>
      <c r="P681" s="9" t="s">
        <v>37</v>
      </c>
      <c r="Q681" s="7" t="s">
        <v>38</v>
      </c>
      <c r="R681" s="7" t="s">
        <v>38</v>
      </c>
      <c r="S681" s="7"/>
      <c r="T681" s="7"/>
      <c r="U681" s="7"/>
      <c r="V681" s="7"/>
      <c r="W681" s="7"/>
      <c r="X681" s="7">
        <v>5</v>
      </c>
      <c r="Y681" s="7"/>
      <c r="Z681" s="7"/>
      <c r="AA681" s="7"/>
      <c r="AB681" s="7">
        <f t="shared" si="50"/>
        <v>1.6666666666666667</v>
      </c>
      <c r="AC681" s="7">
        <f t="shared" si="49"/>
        <v>1.6666666666666667</v>
      </c>
      <c r="AD681" s="7"/>
      <c r="AE681" s="7">
        <v>1</v>
      </c>
      <c r="AF681" s="7" t="s">
        <v>40</v>
      </c>
      <c r="AG681" s="7" t="s">
        <v>601</v>
      </c>
      <c r="AH681" s="7" t="s">
        <v>38</v>
      </c>
      <c r="AI681" s="7"/>
      <c r="AJ681" s="7"/>
      <c r="AK681" s="7"/>
      <c r="AL681" s="9"/>
      <c r="AM681" s="7" t="s">
        <v>589</v>
      </c>
      <c r="AN681" s="7" t="s">
        <v>42</v>
      </c>
      <c r="AO681" s="12"/>
    </row>
    <row r="682" spans="1:41" s="11" customFormat="1" x14ac:dyDescent="0.25">
      <c r="A682" s="2">
        <v>681</v>
      </c>
      <c r="B682" s="7" t="s">
        <v>579</v>
      </c>
      <c r="C682" s="7" t="s">
        <v>78</v>
      </c>
      <c r="D682" s="7">
        <v>13</v>
      </c>
      <c r="E682" s="7">
        <v>13</v>
      </c>
      <c r="F682" s="8">
        <v>1</v>
      </c>
      <c r="G682" s="8">
        <v>2</v>
      </c>
      <c r="H682" s="7">
        <v>2</v>
      </c>
      <c r="I682" s="7">
        <v>2</v>
      </c>
      <c r="J682" s="9" t="s">
        <v>35</v>
      </c>
      <c r="K682" s="7">
        <v>1</v>
      </c>
      <c r="L682" s="7" t="s">
        <v>52</v>
      </c>
      <c r="M682" s="7">
        <f t="shared" si="48"/>
        <v>1</v>
      </c>
      <c r="N682" s="9" t="s">
        <v>34</v>
      </c>
      <c r="O682" s="7">
        <v>1</v>
      </c>
      <c r="P682" s="9" t="s">
        <v>34</v>
      </c>
      <c r="Q682" s="7" t="s">
        <v>38</v>
      </c>
      <c r="R682" s="7" t="s">
        <v>38</v>
      </c>
      <c r="S682" s="7"/>
      <c r="T682" s="7">
        <v>15</v>
      </c>
      <c r="U682" s="7">
        <v>15</v>
      </c>
      <c r="V682" s="7">
        <v>90</v>
      </c>
      <c r="W682" s="7" t="s">
        <v>88</v>
      </c>
      <c r="X682" s="7"/>
      <c r="Y682" s="7"/>
      <c r="Z682" s="7"/>
      <c r="AA682" s="7"/>
      <c r="AB682" s="7">
        <f t="shared" si="50"/>
        <v>5</v>
      </c>
      <c r="AC682" s="7">
        <f t="shared" si="49"/>
        <v>5</v>
      </c>
      <c r="AD682" s="7"/>
      <c r="AE682" s="7"/>
      <c r="AF682" s="7"/>
      <c r="AG682" s="7"/>
      <c r="AH682" s="7"/>
      <c r="AI682" s="7"/>
      <c r="AJ682" s="7"/>
      <c r="AK682" s="7" t="s">
        <v>252</v>
      </c>
      <c r="AL682" s="9"/>
      <c r="AM682" s="7" t="s">
        <v>589</v>
      </c>
      <c r="AN682" s="7" t="s">
        <v>42</v>
      </c>
      <c r="AO682" s="12"/>
    </row>
    <row r="683" spans="1:41" s="11" customFormat="1" ht="24" x14ac:dyDescent="0.25">
      <c r="A683" s="2">
        <v>682</v>
      </c>
      <c r="B683" s="7" t="s">
        <v>579</v>
      </c>
      <c r="C683" s="7" t="s">
        <v>50</v>
      </c>
      <c r="D683" s="7">
        <v>51</v>
      </c>
      <c r="E683" s="7">
        <v>51</v>
      </c>
      <c r="F683" s="8">
        <v>1</v>
      </c>
      <c r="G683" s="8">
        <v>1</v>
      </c>
      <c r="H683" s="7">
        <v>1</v>
      </c>
      <c r="I683" s="7">
        <v>1</v>
      </c>
      <c r="J683" s="9" t="s">
        <v>35</v>
      </c>
      <c r="K683" s="7">
        <v>1</v>
      </c>
      <c r="L683" s="7" t="s">
        <v>52</v>
      </c>
      <c r="M683" s="7">
        <f t="shared" si="48"/>
        <v>1</v>
      </c>
      <c r="N683" s="9" t="s">
        <v>36</v>
      </c>
      <c r="O683" s="7">
        <v>0</v>
      </c>
      <c r="P683" s="9" t="s">
        <v>63</v>
      </c>
      <c r="Q683" s="7" t="s">
        <v>38</v>
      </c>
      <c r="R683" s="7" t="s">
        <v>38</v>
      </c>
      <c r="S683" s="10" t="s">
        <v>1891</v>
      </c>
      <c r="T683" s="7"/>
      <c r="U683" s="7"/>
      <c r="V683" s="7"/>
      <c r="W683" s="7"/>
      <c r="X683" s="7"/>
      <c r="Y683" s="7">
        <v>100</v>
      </c>
      <c r="Z683" s="7">
        <v>100</v>
      </c>
      <c r="AA683" s="7">
        <v>65</v>
      </c>
      <c r="AB683" s="7">
        <f t="shared" si="50"/>
        <v>33.333333333333336</v>
      </c>
      <c r="AC683" s="7">
        <f t="shared" si="49"/>
        <v>33.333333333333336</v>
      </c>
      <c r="AD683" s="7"/>
      <c r="AE683" s="7"/>
      <c r="AF683" s="7"/>
      <c r="AG683" s="7"/>
      <c r="AH683" s="7"/>
      <c r="AI683" s="7"/>
      <c r="AJ683" s="7"/>
      <c r="AK683" s="7"/>
      <c r="AL683" s="9"/>
      <c r="AM683" s="7" t="s">
        <v>42</v>
      </c>
      <c r="AN683" s="7" t="s">
        <v>42</v>
      </c>
      <c r="AO683" s="12"/>
    </row>
    <row r="684" spans="1:41" s="11" customFormat="1" x14ac:dyDescent="0.25">
      <c r="A684" s="2">
        <v>683</v>
      </c>
      <c r="B684" s="7" t="s">
        <v>579</v>
      </c>
      <c r="C684" s="7" t="s">
        <v>50</v>
      </c>
      <c r="D684" s="7">
        <v>23</v>
      </c>
      <c r="E684" s="7">
        <v>23</v>
      </c>
      <c r="F684" s="8">
        <v>1</v>
      </c>
      <c r="G684" s="8">
        <v>1</v>
      </c>
      <c r="H684" s="7">
        <v>1</v>
      </c>
      <c r="I684" s="7">
        <v>1</v>
      </c>
      <c r="J684" s="9" t="s">
        <v>35</v>
      </c>
      <c r="K684" s="7">
        <v>2</v>
      </c>
      <c r="L684" s="7" t="s">
        <v>52</v>
      </c>
      <c r="M684" s="7">
        <f t="shared" si="48"/>
        <v>1</v>
      </c>
      <c r="N684" s="9" t="s">
        <v>34</v>
      </c>
      <c r="O684" s="7">
        <v>0</v>
      </c>
      <c r="P684" s="9" t="s">
        <v>37</v>
      </c>
      <c r="Q684" s="7" t="s">
        <v>38</v>
      </c>
      <c r="R684" s="7" t="s">
        <v>52</v>
      </c>
      <c r="S684" s="7"/>
      <c r="T684" s="7"/>
      <c r="U684" s="7"/>
      <c r="V684" s="7"/>
      <c r="W684" s="7"/>
      <c r="X684" s="7"/>
      <c r="Y684" s="7">
        <v>5</v>
      </c>
      <c r="Z684" s="7">
        <v>5</v>
      </c>
      <c r="AA684" s="7" t="s">
        <v>76</v>
      </c>
      <c r="AB684" s="7">
        <f t="shared" si="50"/>
        <v>1.6666666666666667</v>
      </c>
      <c r="AC684" s="7">
        <f t="shared" si="49"/>
        <v>1.6666666666666667</v>
      </c>
      <c r="AD684" s="7"/>
      <c r="AE684" s="7"/>
      <c r="AF684" s="7"/>
      <c r="AG684" s="7"/>
      <c r="AH684" s="7"/>
      <c r="AI684" s="7"/>
      <c r="AJ684" s="10" t="s">
        <v>294</v>
      </c>
      <c r="AK684" s="7"/>
      <c r="AL684" s="9"/>
      <c r="AM684" s="7" t="s">
        <v>71</v>
      </c>
      <c r="AN684" s="7" t="s">
        <v>71</v>
      </c>
      <c r="AO684" s="12"/>
    </row>
    <row r="685" spans="1:41" s="11" customFormat="1" x14ac:dyDescent="0.25">
      <c r="A685" s="2">
        <v>684</v>
      </c>
      <c r="B685" s="7" t="s">
        <v>579</v>
      </c>
      <c r="C685" s="7" t="s">
        <v>50</v>
      </c>
      <c r="D685" s="7">
        <v>18</v>
      </c>
      <c r="E685" s="7">
        <v>18</v>
      </c>
      <c r="F685" s="8">
        <v>1</v>
      </c>
      <c r="G685" s="8">
        <v>1</v>
      </c>
      <c r="H685" s="7">
        <v>1</v>
      </c>
      <c r="I685" s="7">
        <v>1</v>
      </c>
      <c r="J685" s="9" t="s">
        <v>35</v>
      </c>
      <c r="K685" s="7">
        <v>2</v>
      </c>
      <c r="L685" s="7" t="s">
        <v>52</v>
      </c>
      <c r="M685" s="7">
        <f t="shared" si="48"/>
        <v>1</v>
      </c>
      <c r="N685" s="9" t="s">
        <v>34</v>
      </c>
      <c r="O685" s="7">
        <v>0</v>
      </c>
      <c r="P685" s="9" t="s">
        <v>33</v>
      </c>
      <c r="Q685" s="7" t="s">
        <v>38</v>
      </c>
      <c r="R685" s="7" t="s">
        <v>38</v>
      </c>
      <c r="S685" s="10" t="s">
        <v>1892</v>
      </c>
      <c r="T685" s="7"/>
      <c r="U685" s="7"/>
      <c r="V685" s="7"/>
      <c r="W685" s="7"/>
      <c r="X685" s="7"/>
      <c r="Y685" s="7">
        <v>25</v>
      </c>
      <c r="Z685" s="7">
        <v>25</v>
      </c>
      <c r="AA685" s="7">
        <v>70</v>
      </c>
      <c r="AB685" s="7">
        <f t="shared" si="50"/>
        <v>8.3333333333333339</v>
      </c>
      <c r="AC685" s="7">
        <f t="shared" si="49"/>
        <v>8.3333333333333339</v>
      </c>
      <c r="AD685" s="7"/>
      <c r="AE685" s="7"/>
      <c r="AF685" s="7"/>
      <c r="AG685" s="7"/>
      <c r="AH685" s="7"/>
      <c r="AI685" s="7"/>
      <c r="AJ685" s="7"/>
      <c r="AK685" s="7"/>
      <c r="AL685" s="9"/>
      <c r="AM685" s="7" t="s">
        <v>42</v>
      </c>
      <c r="AN685" s="7" t="s">
        <v>42</v>
      </c>
      <c r="AO685" s="12"/>
    </row>
    <row r="686" spans="1:41" s="11" customFormat="1" x14ac:dyDescent="0.25">
      <c r="A686" s="2">
        <v>685</v>
      </c>
      <c r="B686" s="7" t="s">
        <v>579</v>
      </c>
      <c r="C686" s="7" t="s">
        <v>50</v>
      </c>
      <c r="D686" s="7">
        <v>9</v>
      </c>
      <c r="E686" s="7">
        <v>9</v>
      </c>
      <c r="F686" s="8">
        <v>1</v>
      </c>
      <c r="G686" s="8">
        <v>1</v>
      </c>
      <c r="H686" s="7">
        <v>1</v>
      </c>
      <c r="I686" s="7">
        <v>1</v>
      </c>
      <c r="J686" s="9" t="s">
        <v>35</v>
      </c>
      <c r="K686" s="7">
        <v>2</v>
      </c>
      <c r="L686" s="7" t="s">
        <v>52</v>
      </c>
      <c r="M686" s="7">
        <f t="shared" si="48"/>
        <v>1</v>
      </c>
      <c r="N686" s="9" t="s">
        <v>37</v>
      </c>
      <c r="O686" s="7">
        <v>0</v>
      </c>
      <c r="P686" s="9" t="s">
        <v>63</v>
      </c>
      <c r="Q686" s="7" t="s">
        <v>38</v>
      </c>
      <c r="R686" s="7" t="s">
        <v>52</v>
      </c>
      <c r="S686" s="7"/>
      <c r="T686" s="7"/>
      <c r="U686" s="7"/>
      <c r="V686" s="7"/>
      <c r="W686" s="7"/>
      <c r="X686" s="7"/>
      <c r="Y686" s="7">
        <v>7</v>
      </c>
      <c r="Z686" s="7">
        <v>7</v>
      </c>
      <c r="AA686" s="7">
        <v>80</v>
      </c>
      <c r="AB686" s="7">
        <f t="shared" si="50"/>
        <v>2.3333333333333335</v>
      </c>
      <c r="AC686" s="7">
        <f t="shared" si="49"/>
        <v>2.3333333333333335</v>
      </c>
      <c r="AD686" s="7"/>
      <c r="AE686" s="7"/>
      <c r="AF686" s="7"/>
      <c r="AG686" s="7"/>
      <c r="AH686" s="7"/>
      <c r="AI686" s="7"/>
      <c r="AJ686" s="7"/>
      <c r="AK686" s="7"/>
      <c r="AL686" s="9"/>
      <c r="AM686" s="7" t="s">
        <v>42</v>
      </c>
      <c r="AN686" s="7" t="s">
        <v>42</v>
      </c>
      <c r="AO686" s="12"/>
    </row>
    <row r="687" spans="1:41" s="11" customFormat="1" x14ac:dyDescent="0.25">
      <c r="A687" s="2">
        <v>686</v>
      </c>
      <c r="B687" s="7" t="s">
        <v>579</v>
      </c>
      <c r="C687" s="7" t="s">
        <v>50</v>
      </c>
      <c r="D687" s="7" t="s">
        <v>602</v>
      </c>
      <c r="E687" s="7">
        <v>8</v>
      </c>
      <c r="F687" s="8">
        <v>1</v>
      </c>
      <c r="G687" s="8">
        <v>2</v>
      </c>
      <c r="H687" s="7">
        <v>2</v>
      </c>
      <c r="I687" s="7">
        <v>2</v>
      </c>
      <c r="J687" s="9" t="s">
        <v>35</v>
      </c>
      <c r="K687" s="7">
        <v>2</v>
      </c>
      <c r="L687" s="7" t="s">
        <v>52</v>
      </c>
      <c r="M687" s="7">
        <f t="shared" si="48"/>
        <v>1</v>
      </c>
      <c r="N687" s="9" t="s">
        <v>34</v>
      </c>
      <c r="O687" s="7">
        <v>0</v>
      </c>
      <c r="P687" s="9" t="s">
        <v>34</v>
      </c>
      <c r="Q687" s="7" t="s">
        <v>38</v>
      </c>
      <c r="R687" s="7" t="s">
        <v>38</v>
      </c>
      <c r="S687" s="10" t="s">
        <v>1492</v>
      </c>
      <c r="T687" s="7"/>
      <c r="U687" s="7"/>
      <c r="V687" s="7"/>
      <c r="W687" s="7"/>
      <c r="X687" s="7"/>
      <c r="Y687" s="7">
        <v>35</v>
      </c>
      <c r="Z687" s="7">
        <v>35</v>
      </c>
      <c r="AA687" s="7">
        <v>45</v>
      </c>
      <c r="AB687" s="7">
        <f t="shared" si="50"/>
        <v>11.666666666666666</v>
      </c>
      <c r="AC687" s="7">
        <f t="shared" si="49"/>
        <v>11.666666666666666</v>
      </c>
      <c r="AD687" s="7"/>
      <c r="AE687" s="7"/>
      <c r="AF687" s="7"/>
      <c r="AG687" s="7"/>
      <c r="AH687" s="7"/>
      <c r="AI687" s="7"/>
      <c r="AJ687" s="7"/>
      <c r="AK687" s="7"/>
      <c r="AL687" s="9"/>
      <c r="AM687" s="7" t="s">
        <v>71</v>
      </c>
      <c r="AN687" s="7" t="s">
        <v>71</v>
      </c>
      <c r="AO687" s="12"/>
    </row>
    <row r="688" spans="1:41" s="11" customFormat="1" x14ac:dyDescent="0.25">
      <c r="A688" s="2">
        <v>687</v>
      </c>
      <c r="B688" s="7" t="s">
        <v>579</v>
      </c>
      <c r="C688" s="7" t="s">
        <v>50</v>
      </c>
      <c r="D688" s="7">
        <v>3</v>
      </c>
      <c r="E688" s="7">
        <v>3</v>
      </c>
      <c r="F688" s="8">
        <v>1</v>
      </c>
      <c r="G688" s="8">
        <v>1</v>
      </c>
      <c r="H688" s="7">
        <v>1</v>
      </c>
      <c r="I688" s="7">
        <v>1</v>
      </c>
      <c r="J688" s="9" t="s">
        <v>35</v>
      </c>
      <c r="K688" s="7">
        <v>2</v>
      </c>
      <c r="L688" s="7" t="s">
        <v>52</v>
      </c>
      <c r="M688" s="7">
        <f t="shared" si="48"/>
        <v>1</v>
      </c>
      <c r="N688" s="9" t="s">
        <v>34</v>
      </c>
      <c r="O688" s="7">
        <v>0</v>
      </c>
      <c r="P688" s="9" t="s">
        <v>63</v>
      </c>
      <c r="Q688" s="7" t="s">
        <v>38</v>
      </c>
      <c r="R688" s="7" t="s">
        <v>38</v>
      </c>
      <c r="S688" s="10" t="s">
        <v>1893</v>
      </c>
      <c r="T688" s="7"/>
      <c r="U688" s="7"/>
      <c r="V688" s="7"/>
      <c r="W688" s="7"/>
      <c r="X688" s="7"/>
      <c r="Y688" s="7">
        <v>5</v>
      </c>
      <c r="Z688" s="7">
        <v>5</v>
      </c>
      <c r="AA688" s="7">
        <v>80</v>
      </c>
      <c r="AB688" s="7">
        <f t="shared" si="50"/>
        <v>1.6666666666666667</v>
      </c>
      <c r="AC688" s="7">
        <f t="shared" si="49"/>
        <v>1.6666666666666667</v>
      </c>
      <c r="AD688" s="7"/>
      <c r="AE688" s="7"/>
      <c r="AF688" s="7"/>
      <c r="AG688" s="7"/>
      <c r="AH688" s="7"/>
      <c r="AI688" s="7"/>
      <c r="AJ688" s="7"/>
      <c r="AK688" s="7"/>
      <c r="AL688" s="9"/>
      <c r="AM688" s="7" t="s">
        <v>71</v>
      </c>
      <c r="AN688" s="7" t="s">
        <v>71</v>
      </c>
      <c r="AO688" s="12"/>
    </row>
    <row r="689" spans="1:41" s="11" customFormat="1" x14ac:dyDescent="0.25">
      <c r="A689" s="2">
        <v>688</v>
      </c>
      <c r="B689" s="7" t="s">
        <v>579</v>
      </c>
      <c r="C689" s="7" t="s">
        <v>78</v>
      </c>
      <c r="D689" s="7">
        <v>4</v>
      </c>
      <c r="E689" s="7">
        <v>4</v>
      </c>
      <c r="F689" s="8">
        <v>1</v>
      </c>
      <c r="G689" s="8">
        <v>1</v>
      </c>
      <c r="H689" s="7">
        <v>1</v>
      </c>
      <c r="I689" s="7">
        <v>1</v>
      </c>
      <c r="J689" s="9" t="s">
        <v>35</v>
      </c>
      <c r="K689" s="7">
        <v>2</v>
      </c>
      <c r="L689" s="7" t="s">
        <v>52</v>
      </c>
      <c r="M689" s="7">
        <f t="shared" si="48"/>
        <v>1</v>
      </c>
      <c r="N689" s="9" t="s">
        <v>34</v>
      </c>
      <c r="O689" s="7">
        <v>1</v>
      </c>
      <c r="P689" s="9" t="s">
        <v>63</v>
      </c>
      <c r="Q689" s="7" t="s">
        <v>38</v>
      </c>
      <c r="R689" s="7" t="s">
        <v>38</v>
      </c>
      <c r="S689" s="7"/>
      <c r="T689" s="7">
        <v>7</v>
      </c>
      <c r="U689" s="7">
        <v>7</v>
      </c>
      <c r="V689" s="7">
        <v>130</v>
      </c>
      <c r="W689" s="7" t="s">
        <v>214</v>
      </c>
      <c r="X689" s="7"/>
      <c r="Y689" s="7"/>
      <c r="Z689" s="7"/>
      <c r="AA689" s="7"/>
      <c r="AB689" s="7">
        <f t="shared" si="50"/>
        <v>2.3333333333333335</v>
      </c>
      <c r="AC689" s="7">
        <f t="shared" si="49"/>
        <v>2.3333333333333335</v>
      </c>
      <c r="AD689" s="7"/>
      <c r="AE689" s="7"/>
      <c r="AF689" s="7"/>
      <c r="AG689" s="7"/>
      <c r="AH689" s="7"/>
      <c r="AI689" s="7"/>
      <c r="AJ689" s="7"/>
      <c r="AK689" s="7"/>
      <c r="AL689" s="9"/>
      <c r="AM689" s="7" t="s">
        <v>71</v>
      </c>
      <c r="AN689" s="7" t="s">
        <v>71</v>
      </c>
      <c r="AO689" s="12"/>
    </row>
    <row r="690" spans="1:41" s="11" customFormat="1" x14ac:dyDescent="0.25">
      <c r="A690" s="2">
        <v>689</v>
      </c>
      <c r="B690" s="7" t="s">
        <v>579</v>
      </c>
      <c r="C690" s="7" t="s">
        <v>78</v>
      </c>
      <c r="D690" s="7">
        <v>3</v>
      </c>
      <c r="E690" s="7">
        <v>3</v>
      </c>
      <c r="F690" s="8">
        <v>1</v>
      </c>
      <c r="G690" s="8">
        <v>1</v>
      </c>
      <c r="H690" s="7">
        <v>1</v>
      </c>
      <c r="I690" s="7">
        <v>1</v>
      </c>
      <c r="J690" s="9" t="s">
        <v>35</v>
      </c>
      <c r="K690" s="7">
        <v>2</v>
      </c>
      <c r="L690" s="7" t="s">
        <v>52</v>
      </c>
      <c r="M690" s="7">
        <f t="shared" si="48"/>
        <v>1</v>
      </c>
      <c r="N690" s="9" t="s">
        <v>36</v>
      </c>
      <c r="O690" s="7">
        <v>0</v>
      </c>
      <c r="P690" s="9" t="s">
        <v>33</v>
      </c>
      <c r="Q690" s="7" t="s">
        <v>38</v>
      </c>
      <c r="R690" s="7" t="s">
        <v>38</v>
      </c>
      <c r="S690" s="7"/>
      <c r="T690" s="7">
        <v>5</v>
      </c>
      <c r="U690" s="7">
        <v>5</v>
      </c>
      <c r="V690" s="7">
        <v>100</v>
      </c>
      <c r="W690" s="7" t="s">
        <v>88</v>
      </c>
      <c r="X690" s="7"/>
      <c r="Y690" s="7"/>
      <c r="Z690" s="7"/>
      <c r="AA690" s="7"/>
      <c r="AB690" s="7">
        <f t="shared" si="50"/>
        <v>1.6666666666666667</v>
      </c>
      <c r="AC690" s="7">
        <f t="shared" si="49"/>
        <v>1.6666666666666667</v>
      </c>
      <c r="AD690" s="7"/>
      <c r="AE690" s="7"/>
      <c r="AF690" s="7"/>
      <c r="AG690" s="7"/>
      <c r="AH690" s="7"/>
      <c r="AI690" s="7"/>
      <c r="AJ690" s="7"/>
      <c r="AK690" s="7"/>
      <c r="AL690" s="9"/>
      <c r="AM690" s="7" t="s">
        <v>42</v>
      </c>
      <c r="AN690" s="7" t="s">
        <v>42</v>
      </c>
      <c r="AO690" s="12"/>
    </row>
    <row r="691" spans="1:41" s="11" customFormat="1" x14ac:dyDescent="0.25">
      <c r="A691" s="2">
        <v>690</v>
      </c>
      <c r="B691" s="7" t="s">
        <v>579</v>
      </c>
      <c r="C691" s="7" t="s">
        <v>78</v>
      </c>
      <c r="D691" s="7">
        <v>2</v>
      </c>
      <c r="E691" s="7">
        <v>2</v>
      </c>
      <c r="F691" s="8">
        <v>1</v>
      </c>
      <c r="G691" s="8">
        <v>1</v>
      </c>
      <c r="H691" s="7">
        <v>1</v>
      </c>
      <c r="I691" s="7">
        <v>1</v>
      </c>
      <c r="J691" s="9" t="s">
        <v>35</v>
      </c>
      <c r="K691" s="7">
        <v>2</v>
      </c>
      <c r="L691" s="7" t="s">
        <v>52</v>
      </c>
      <c r="M691" s="7">
        <f t="shared" si="48"/>
        <v>1</v>
      </c>
      <c r="N691" s="9" t="s">
        <v>36</v>
      </c>
      <c r="O691" s="7">
        <v>0</v>
      </c>
      <c r="P691" s="9" t="s">
        <v>33</v>
      </c>
      <c r="Q691" s="7" t="s">
        <v>38</v>
      </c>
      <c r="R691" s="7" t="s">
        <v>38</v>
      </c>
      <c r="S691" s="7"/>
      <c r="T691" s="7">
        <v>5</v>
      </c>
      <c r="U691" s="7">
        <v>5</v>
      </c>
      <c r="V691" s="7">
        <v>90</v>
      </c>
      <c r="W691" s="7" t="s">
        <v>88</v>
      </c>
      <c r="X691" s="7"/>
      <c r="Y691" s="7"/>
      <c r="Z691" s="7"/>
      <c r="AA691" s="7"/>
      <c r="AB691" s="7">
        <f t="shared" si="50"/>
        <v>1.6666666666666667</v>
      </c>
      <c r="AC691" s="7">
        <f t="shared" si="49"/>
        <v>1.6666666666666667</v>
      </c>
      <c r="AD691" s="7"/>
      <c r="AE691" s="7"/>
      <c r="AF691" s="7"/>
      <c r="AG691" s="7"/>
      <c r="AH691" s="7"/>
      <c r="AI691" s="7"/>
      <c r="AJ691" s="7"/>
      <c r="AK691" s="7"/>
      <c r="AL691" s="9"/>
      <c r="AM691" s="7" t="s">
        <v>42</v>
      </c>
      <c r="AN691" s="7" t="s">
        <v>42</v>
      </c>
      <c r="AO691" s="12"/>
    </row>
    <row r="692" spans="1:41" s="11" customFormat="1" ht="24" x14ac:dyDescent="0.25">
      <c r="A692" s="2">
        <v>691</v>
      </c>
      <c r="B692" s="7" t="s">
        <v>579</v>
      </c>
      <c r="C692" s="7" t="s">
        <v>78</v>
      </c>
      <c r="D692" s="7" t="s">
        <v>603</v>
      </c>
      <c r="E692" s="7">
        <v>5</v>
      </c>
      <c r="F692" s="8">
        <v>1</v>
      </c>
      <c r="G692" s="8">
        <v>3</v>
      </c>
      <c r="H692" s="7">
        <v>3</v>
      </c>
      <c r="I692" s="7">
        <v>3</v>
      </c>
      <c r="J692" s="9" t="s">
        <v>35</v>
      </c>
      <c r="K692" s="7">
        <v>1</v>
      </c>
      <c r="L692" s="7" t="s">
        <v>52</v>
      </c>
      <c r="M692" s="7">
        <f t="shared" si="48"/>
        <v>1</v>
      </c>
      <c r="N692" s="9" t="s">
        <v>34</v>
      </c>
      <c r="O692" s="7">
        <v>0</v>
      </c>
      <c r="P692" s="9" t="s">
        <v>34</v>
      </c>
      <c r="Q692" s="7" t="s">
        <v>38</v>
      </c>
      <c r="R692" s="7" t="s">
        <v>38</v>
      </c>
      <c r="S692" s="7"/>
      <c r="T692" s="7">
        <v>17</v>
      </c>
      <c r="U692" s="7">
        <v>17</v>
      </c>
      <c r="V692" s="7">
        <v>90</v>
      </c>
      <c r="W692" s="7" t="s">
        <v>83</v>
      </c>
      <c r="X692" s="7"/>
      <c r="Y692" s="7"/>
      <c r="Z692" s="7"/>
      <c r="AA692" s="7"/>
      <c r="AB692" s="7">
        <f t="shared" si="50"/>
        <v>5.666666666666667</v>
      </c>
      <c r="AC692" s="7">
        <f t="shared" si="49"/>
        <v>5.666666666666667</v>
      </c>
      <c r="AD692" s="7"/>
      <c r="AE692" s="7"/>
      <c r="AF692" s="7"/>
      <c r="AG692" s="7"/>
      <c r="AH692" s="7"/>
      <c r="AI692" s="7"/>
      <c r="AJ692" s="7"/>
      <c r="AK692" s="7"/>
      <c r="AL692" s="9"/>
      <c r="AM692" s="7" t="s">
        <v>42</v>
      </c>
      <c r="AN692" s="7" t="s">
        <v>42</v>
      </c>
      <c r="AO692" s="12"/>
    </row>
    <row r="693" spans="1:41" s="11" customFormat="1" ht="24" x14ac:dyDescent="0.25">
      <c r="A693" s="2">
        <v>692</v>
      </c>
      <c r="B693" s="7" t="s">
        <v>579</v>
      </c>
      <c r="C693" s="7" t="s">
        <v>78</v>
      </c>
      <c r="D693" s="7">
        <v>4</v>
      </c>
      <c r="E693" s="7">
        <v>4</v>
      </c>
      <c r="F693" s="8">
        <v>1</v>
      </c>
      <c r="G693" s="8">
        <v>1</v>
      </c>
      <c r="H693" s="7">
        <v>1</v>
      </c>
      <c r="I693" s="7">
        <v>1</v>
      </c>
      <c r="J693" s="9" t="s">
        <v>35</v>
      </c>
      <c r="K693" s="7">
        <v>2</v>
      </c>
      <c r="L693" s="7" t="s">
        <v>52</v>
      </c>
      <c r="M693" s="7">
        <f t="shared" si="48"/>
        <v>1</v>
      </c>
      <c r="N693" s="9" t="s">
        <v>34</v>
      </c>
      <c r="O693" s="7">
        <v>0</v>
      </c>
      <c r="P693" s="9" t="s">
        <v>33</v>
      </c>
      <c r="Q693" s="7" t="s">
        <v>38</v>
      </c>
      <c r="R693" s="7" t="s">
        <v>38</v>
      </c>
      <c r="S693" s="7"/>
      <c r="T693" s="7">
        <v>10</v>
      </c>
      <c r="U693" s="7">
        <v>10</v>
      </c>
      <c r="V693" s="7">
        <v>90</v>
      </c>
      <c r="W693" s="7" t="s">
        <v>83</v>
      </c>
      <c r="X693" s="7"/>
      <c r="Y693" s="7"/>
      <c r="Z693" s="7"/>
      <c r="AA693" s="7"/>
      <c r="AB693" s="7">
        <f t="shared" si="50"/>
        <v>3.3333333333333335</v>
      </c>
      <c r="AC693" s="7">
        <f t="shared" si="49"/>
        <v>3.3333333333333335</v>
      </c>
      <c r="AD693" s="7"/>
      <c r="AE693" s="7"/>
      <c r="AF693" s="7"/>
      <c r="AG693" s="7"/>
      <c r="AH693" s="7"/>
      <c r="AI693" s="7"/>
      <c r="AJ693" s="7"/>
      <c r="AK693" s="7"/>
      <c r="AL693" s="9"/>
      <c r="AM693" s="7" t="s">
        <v>42</v>
      </c>
      <c r="AN693" s="7" t="s">
        <v>42</v>
      </c>
      <c r="AO693" s="12"/>
    </row>
    <row r="694" spans="1:41" s="11" customFormat="1" ht="24" x14ac:dyDescent="0.25">
      <c r="A694" s="2">
        <v>693</v>
      </c>
      <c r="B694" s="7" t="s">
        <v>579</v>
      </c>
      <c r="C694" s="7" t="s">
        <v>78</v>
      </c>
      <c r="D694" s="7">
        <v>2</v>
      </c>
      <c r="E694" s="7">
        <v>2</v>
      </c>
      <c r="F694" s="8">
        <v>1</v>
      </c>
      <c r="G694" s="8">
        <v>1</v>
      </c>
      <c r="H694" s="7">
        <v>1</v>
      </c>
      <c r="I694" s="7">
        <v>1</v>
      </c>
      <c r="J694" s="9" t="s">
        <v>35</v>
      </c>
      <c r="K694" s="7">
        <v>1</v>
      </c>
      <c r="L694" s="7" t="s">
        <v>52</v>
      </c>
      <c r="M694" s="7">
        <f t="shared" si="48"/>
        <v>1</v>
      </c>
      <c r="N694" s="9" t="s">
        <v>34</v>
      </c>
      <c r="O694" s="7">
        <v>0</v>
      </c>
      <c r="P694" s="9" t="s">
        <v>36</v>
      </c>
      <c r="Q694" s="7" t="s">
        <v>38</v>
      </c>
      <c r="R694" s="7" t="s">
        <v>38</v>
      </c>
      <c r="S694" s="7"/>
      <c r="T694" s="7">
        <v>9</v>
      </c>
      <c r="U694" s="7">
        <v>9</v>
      </c>
      <c r="V694" s="7">
        <v>110</v>
      </c>
      <c r="W694" s="7" t="s">
        <v>83</v>
      </c>
      <c r="X694" s="7"/>
      <c r="Y694" s="7"/>
      <c r="Z694" s="7"/>
      <c r="AA694" s="7"/>
      <c r="AB694" s="7">
        <f t="shared" si="50"/>
        <v>3</v>
      </c>
      <c r="AC694" s="7">
        <f t="shared" si="49"/>
        <v>3</v>
      </c>
      <c r="AD694" s="7"/>
      <c r="AE694" s="7"/>
      <c r="AF694" s="7"/>
      <c r="AG694" s="7"/>
      <c r="AH694" s="7"/>
      <c r="AI694" s="7"/>
      <c r="AJ694" s="7"/>
      <c r="AK694" s="7"/>
      <c r="AL694" s="9"/>
      <c r="AM694" s="7" t="s">
        <v>42</v>
      </c>
      <c r="AN694" s="7" t="s">
        <v>42</v>
      </c>
      <c r="AO694" s="12"/>
    </row>
    <row r="695" spans="1:41" s="11" customFormat="1" x14ac:dyDescent="0.25">
      <c r="A695" s="2">
        <v>694</v>
      </c>
      <c r="B695" s="7" t="s">
        <v>579</v>
      </c>
      <c r="C695" s="7" t="s">
        <v>78</v>
      </c>
      <c r="D695" s="7">
        <v>1</v>
      </c>
      <c r="E695" s="7">
        <v>1</v>
      </c>
      <c r="F695" s="8">
        <v>1</v>
      </c>
      <c r="G695" s="8">
        <v>1</v>
      </c>
      <c r="H695" s="7">
        <v>1</v>
      </c>
      <c r="I695" s="7">
        <v>1</v>
      </c>
      <c r="J695" s="9" t="s">
        <v>35</v>
      </c>
      <c r="K695" s="7">
        <v>2</v>
      </c>
      <c r="L695" s="7" t="s">
        <v>52</v>
      </c>
      <c r="M695" s="7">
        <f t="shared" si="48"/>
        <v>1</v>
      </c>
      <c r="N695" s="9" t="s">
        <v>34</v>
      </c>
      <c r="O695" s="7">
        <v>0</v>
      </c>
      <c r="P695" s="9" t="s">
        <v>63</v>
      </c>
      <c r="Q695" s="7" t="s">
        <v>38</v>
      </c>
      <c r="R695" s="7" t="s">
        <v>38</v>
      </c>
      <c r="S695" s="7"/>
      <c r="T695" s="7">
        <v>7</v>
      </c>
      <c r="U695" s="7">
        <v>7</v>
      </c>
      <c r="V695" s="7">
        <v>100</v>
      </c>
      <c r="W695" s="7" t="s">
        <v>254</v>
      </c>
      <c r="X695" s="7"/>
      <c r="Y695" s="7"/>
      <c r="Z695" s="7"/>
      <c r="AA695" s="7"/>
      <c r="AB695" s="7">
        <f t="shared" si="50"/>
        <v>2.3333333333333335</v>
      </c>
      <c r="AC695" s="7">
        <f t="shared" si="49"/>
        <v>2.3333333333333335</v>
      </c>
      <c r="AD695" s="7"/>
      <c r="AE695" s="7"/>
      <c r="AF695" s="7"/>
      <c r="AG695" s="7"/>
      <c r="AH695" s="7"/>
      <c r="AI695" s="7"/>
      <c r="AJ695" s="7"/>
      <c r="AK695" s="7"/>
      <c r="AL695" s="9"/>
      <c r="AM695" s="7" t="s">
        <v>71</v>
      </c>
      <c r="AN695" s="7" t="s">
        <v>71</v>
      </c>
      <c r="AO695" s="12"/>
    </row>
    <row r="696" spans="1:41" s="11" customFormat="1" x14ac:dyDescent="0.25">
      <c r="A696" s="2">
        <v>695</v>
      </c>
      <c r="B696" s="7" t="s">
        <v>579</v>
      </c>
      <c r="C696" s="7" t="s">
        <v>100</v>
      </c>
      <c r="D696" s="7">
        <v>7</v>
      </c>
      <c r="E696" s="7">
        <v>7</v>
      </c>
      <c r="F696" s="8">
        <v>1</v>
      </c>
      <c r="G696" s="8">
        <v>1</v>
      </c>
      <c r="H696" s="7">
        <v>1</v>
      </c>
      <c r="I696" s="7">
        <v>1</v>
      </c>
      <c r="J696" s="9" t="s">
        <v>35</v>
      </c>
      <c r="K696" s="7">
        <v>1</v>
      </c>
      <c r="L696" s="7" t="s">
        <v>52</v>
      </c>
      <c r="M696" s="7">
        <f t="shared" si="48"/>
        <v>1</v>
      </c>
      <c r="N696" s="9" t="s">
        <v>34</v>
      </c>
      <c r="O696" s="7">
        <v>0</v>
      </c>
      <c r="P696" s="9" t="s">
        <v>33</v>
      </c>
      <c r="Q696" s="7" t="s">
        <v>38</v>
      </c>
      <c r="R696" s="7" t="s">
        <v>38</v>
      </c>
      <c r="S696" s="7"/>
      <c r="T696" s="7"/>
      <c r="U696" s="7"/>
      <c r="V696" s="7"/>
      <c r="W696" s="7"/>
      <c r="X696" s="7">
        <v>3</v>
      </c>
      <c r="Y696" s="7"/>
      <c r="Z696" s="7"/>
      <c r="AA696" s="7"/>
      <c r="AB696" s="7">
        <f t="shared" si="50"/>
        <v>1</v>
      </c>
      <c r="AC696" s="7">
        <f t="shared" si="49"/>
        <v>1</v>
      </c>
      <c r="AD696" s="7"/>
      <c r="AE696" s="7">
        <v>1</v>
      </c>
      <c r="AF696" s="7"/>
      <c r="AG696" s="7" t="s">
        <v>604</v>
      </c>
      <c r="AH696" s="7" t="s">
        <v>38</v>
      </c>
      <c r="AI696" s="7"/>
      <c r="AJ696" s="7"/>
      <c r="AK696" s="7"/>
      <c r="AL696" s="9"/>
      <c r="AM696" s="7" t="s">
        <v>71</v>
      </c>
      <c r="AN696" s="7" t="s">
        <v>71</v>
      </c>
      <c r="AO696" s="7"/>
    </row>
    <row r="697" spans="1:41" s="11" customFormat="1" x14ac:dyDescent="0.25">
      <c r="A697" s="2">
        <v>696</v>
      </c>
      <c r="B697" s="7" t="s">
        <v>579</v>
      </c>
      <c r="C697" s="7" t="s">
        <v>119</v>
      </c>
      <c r="D697" s="7">
        <v>6</v>
      </c>
      <c r="E697" s="7">
        <v>6</v>
      </c>
      <c r="F697" s="8">
        <v>1</v>
      </c>
      <c r="G697" s="8">
        <v>1</v>
      </c>
      <c r="H697" s="7">
        <v>1</v>
      </c>
      <c r="I697" s="7">
        <v>1</v>
      </c>
      <c r="J697" s="9" t="s">
        <v>35</v>
      </c>
      <c r="K697" s="7">
        <v>1</v>
      </c>
      <c r="L697" s="7" t="s">
        <v>52</v>
      </c>
      <c r="M697" s="7">
        <f t="shared" si="48"/>
        <v>1</v>
      </c>
      <c r="N697" s="9" t="s">
        <v>34</v>
      </c>
      <c r="O697" s="7">
        <v>0</v>
      </c>
      <c r="P697" s="9" t="s">
        <v>33</v>
      </c>
      <c r="Q697" s="7"/>
      <c r="R697" s="7" t="s">
        <v>38</v>
      </c>
      <c r="S697" s="7" t="s">
        <v>307</v>
      </c>
      <c r="T697" s="7"/>
      <c r="U697" s="7"/>
      <c r="V697" s="7"/>
      <c r="W697" s="7"/>
      <c r="X697" s="7"/>
      <c r="Y697" s="7"/>
      <c r="Z697" s="7"/>
      <c r="AA697" s="7"/>
      <c r="AB697" s="7">
        <v>0.33333333333333298</v>
      </c>
      <c r="AC697" s="7">
        <f t="shared" si="49"/>
        <v>0.33333333333333298</v>
      </c>
      <c r="AD697" s="7">
        <v>1</v>
      </c>
      <c r="AE697" s="7"/>
      <c r="AF697" s="7" t="s">
        <v>40</v>
      </c>
      <c r="AG697" s="7" t="s">
        <v>247</v>
      </c>
      <c r="AH697" s="7"/>
      <c r="AI697" s="7"/>
      <c r="AJ697" s="7"/>
      <c r="AK697" s="7"/>
      <c r="AL697" s="9"/>
      <c r="AM697" s="7" t="s">
        <v>42</v>
      </c>
      <c r="AN697" s="7" t="s">
        <v>42</v>
      </c>
      <c r="AO697" s="12"/>
    </row>
    <row r="698" spans="1:41" s="11" customFormat="1" x14ac:dyDescent="0.25">
      <c r="A698" s="2">
        <v>697</v>
      </c>
      <c r="B698" s="7" t="s">
        <v>579</v>
      </c>
      <c r="C698" s="7" t="s">
        <v>104</v>
      </c>
      <c r="D698" s="7">
        <v>11</v>
      </c>
      <c r="E698" s="7">
        <v>11</v>
      </c>
      <c r="F698" s="8">
        <v>1</v>
      </c>
      <c r="G698" s="8">
        <v>1</v>
      </c>
      <c r="H698" s="7">
        <v>1</v>
      </c>
      <c r="I698" s="7">
        <v>1</v>
      </c>
      <c r="J698" s="9" t="s">
        <v>35</v>
      </c>
      <c r="K698" s="7">
        <v>1</v>
      </c>
      <c r="L698" s="7" t="s">
        <v>52</v>
      </c>
      <c r="M698" s="7">
        <f t="shared" si="48"/>
        <v>1</v>
      </c>
      <c r="N698" s="9" t="s">
        <v>34</v>
      </c>
      <c r="O698" s="7">
        <v>0</v>
      </c>
      <c r="P698" s="9" t="s">
        <v>33</v>
      </c>
      <c r="Q698" s="7" t="s">
        <v>38</v>
      </c>
      <c r="R698" s="7" t="s">
        <v>38</v>
      </c>
      <c r="S698" s="7" t="s">
        <v>307</v>
      </c>
      <c r="T698" s="7"/>
      <c r="U698" s="7"/>
      <c r="V698" s="7"/>
      <c r="W698" s="7"/>
      <c r="X698" s="7">
        <v>3</v>
      </c>
      <c r="Y698" s="7"/>
      <c r="Z698" s="7"/>
      <c r="AA698" s="7"/>
      <c r="AB698" s="7">
        <f>(U698+X698+Z698)/3</f>
        <v>1</v>
      </c>
      <c r="AC698" s="7">
        <f t="shared" si="49"/>
        <v>1</v>
      </c>
      <c r="AD698" s="7"/>
      <c r="AE698" s="7">
        <v>1</v>
      </c>
      <c r="AF698" s="7" t="s">
        <v>40</v>
      </c>
      <c r="AG698" s="7" t="s">
        <v>138</v>
      </c>
      <c r="AH698" s="7"/>
      <c r="AI698" s="7"/>
      <c r="AJ698" s="7"/>
      <c r="AK698" s="7"/>
      <c r="AL698" s="9"/>
      <c r="AM698" s="7" t="s">
        <v>71</v>
      </c>
      <c r="AN698" s="7" t="s">
        <v>71</v>
      </c>
      <c r="AO698" s="12"/>
    </row>
    <row r="699" spans="1:41" s="11" customFormat="1" x14ac:dyDescent="0.25">
      <c r="A699" s="2">
        <v>698</v>
      </c>
      <c r="B699" s="7" t="s">
        <v>579</v>
      </c>
      <c r="C699" s="7" t="s">
        <v>104</v>
      </c>
      <c r="D699" s="7">
        <v>12</v>
      </c>
      <c r="E699" s="7">
        <v>12</v>
      </c>
      <c r="F699" s="8">
        <v>1</v>
      </c>
      <c r="G699" s="8">
        <v>1</v>
      </c>
      <c r="H699" s="7">
        <v>1</v>
      </c>
      <c r="I699" s="7">
        <v>1</v>
      </c>
      <c r="J699" s="9" t="s">
        <v>35</v>
      </c>
      <c r="K699" s="7">
        <v>2</v>
      </c>
      <c r="L699" s="7" t="s">
        <v>52</v>
      </c>
      <c r="M699" s="7">
        <f t="shared" si="48"/>
        <v>1</v>
      </c>
      <c r="N699" s="9" t="s">
        <v>34</v>
      </c>
      <c r="O699" s="7">
        <v>3</v>
      </c>
      <c r="P699" s="9" t="s">
        <v>33</v>
      </c>
      <c r="Q699" s="7" t="s">
        <v>38</v>
      </c>
      <c r="R699" s="7" t="s">
        <v>38</v>
      </c>
      <c r="S699" s="7" t="s">
        <v>307</v>
      </c>
      <c r="T699" s="7"/>
      <c r="U699" s="7"/>
      <c r="V699" s="7"/>
      <c r="W699" s="7"/>
      <c r="X699" s="7">
        <v>3</v>
      </c>
      <c r="Y699" s="7"/>
      <c r="Z699" s="7"/>
      <c r="AA699" s="7"/>
      <c r="AB699" s="7">
        <f>(U699+X699+Z699)/3</f>
        <v>1</v>
      </c>
      <c r="AC699" s="7">
        <f t="shared" si="49"/>
        <v>1</v>
      </c>
      <c r="AD699" s="7"/>
      <c r="AE699" s="7">
        <v>1</v>
      </c>
      <c r="AF699" s="7" t="s">
        <v>40</v>
      </c>
      <c r="AG699" s="7" t="s">
        <v>605</v>
      </c>
      <c r="AH699" s="7"/>
      <c r="AI699" s="7"/>
      <c r="AJ699" s="7"/>
      <c r="AK699" s="7"/>
      <c r="AL699" s="9"/>
      <c r="AM699" s="7" t="s">
        <v>71</v>
      </c>
      <c r="AN699" s="7" t="s">
        <v>71</v>
      </c>
      <c r="AO699" s="12"/>
    </row>
    <row r="700" spans="1:41" s="11" customFormat="1" x14ac:dyDescent="0.25">
      <c r="A700" s="2">
        <v>699</v>
      </c>
      <c r="B700" s="7" t="s">
        <v>579</v>
      </c>
      <c r="C700" s="7" t="s">
        <v>119</v>
      </c>
      <c r="D700" s="7">
        <v>16</v>
      </c>
      <c r="E700" s="7">
        <v>16</v>
      </c>
      <c r="F700" s="8">
        <v>1</v>
      </c>
      <c r="G700" s="8">
        <v>1</v>
      </c>
      <c r="H700" s="7">
        <v>1</v>
      </c>
      <c r="I700" s="7">
        <v>1</v>
      </c>
      <c r="J700" s="9" t="s">
        <v>35</v>
      </c>
      <c r="K700" s="7">
        <v>2</v>
      </c>
      <c r="L700" s="7" t="s">
        <v>52</v>
      </c>
      <c r="M700" s="7">
        <f t="shared" si="48"/>
        <v>1</v>
      </c>
      <c r="N700" s="9" t="s">
        <v>36</v>
      </c>
      <c r="O700" s="7">
        <v>0</v>
      </c>
      <c r="P700" s="9" t="s">
        <v>37</v>
      </c>
      <c r="Q700" s="7" t="s">
        <v>38</v>
      </c>
      <c r="R700" s="7" t="s">
        <v>38</v>
      </c>
      <c r="S700" s="10" t="s">
        <v>1894</v>
      </c>
      <c r="T700" s="7"/>
      <c r="U700" s="7"/>
      <c r="V700" s="7"/>
      <c r="W700" s="7"/>
      <c r="X700" s="7"/>
      <c r="Y700" s="7"/>
      <c r="Z700" s="7"/>
      <c r="AA700" s="7"/>
      <c r="AB700" s="7">
        <v>0.33333333333333298</v>
      </c>
      <c r="AC700" s="7">
        <f t="shared" si="49"/>
        <v>0.33333333333333298</v>
      </c>
      <c r="AD700" s="7"/>
      <c r="AE700" s="7"/>
      <c r="AF700" s="7" t="s">
        <v>40</v>
      </c>
      <c r="AG700" s="7" t="s">
        <v>605</v>
      </c>
      <c r="AH700" s="7"/>
      <c r="AI700" s="7"/>
      <c r="AJ700" s="7"/>
      <c r="AK700" s="7"/>
      <c r="AL700" s="9"/>
      <c r="AM700" s="7" t="s">
        <v>71</v>
      </c>
      <c r="AN700" s="7" t="s">
        <v>71</v>
      </c>
      <c r="AO700" s="12"/>
    </row>
    <row r="701" spans="1:41" s="11" customFormat="1" x14ac:dyDescent="0.25">
      <c r="A701" s="2">
        <v>700</v>
      </c>
      <c r="B701" s="7" t="s">
        <v>579</v>
      </c>
      <c r="C701" s="7" t="s">
        <v>104</v>
      </c>
      <c r="D701" s="7">
        <v>8</v>
      </c>
      <c r="E701" s="7">
        <v>8</v>
      </c>
      <c r="F701" s="8">
        <v>1</v>
      </c>
      <c r="G701" s="8">
        <v>1</v>
      </c>
      <c r="H701" s="7">
        <v>1</v>
      </c>
      <c r="I701" s="7">
        <v>1</v>
      </c>
      <c r="J701" s="9" t="s">
        <v>35</v>
      </c>
      <c r="K701" s="7">
        <v>1</v>
      </c>
      <c r="L701" s="7" t="s">
        <v>52</v>
      </c>
      <c r="M701" s="7">
        <f t="shared" si="48"/>
        <v>1</v>
      </c>
      <c r="N701" s="9" t="s">
        <v>34</v>
      </c>
      <c r="O701" s="7">
        <v>0</v>
      </c>
      <c r="P701" s="9" t="s">
        <v>37</v>
      </c>
      <c r="Q701" s="7" t="s">
        <v>38</v>
      </c>
      <c r="R701" s="7" t="s">
        <v>38</v>
      </c>
      <c r="S701" s="10" t="s">
        <v>1524</v>
      </c>
      <c r="T701" s="7"/>
      <c r="U701" s="7"/>
      <c r="V701" s="7"/>
      <c r="W701" s="7"/>
      <c r="X701" s="7">
        <v>3</v>
      </c>
      <c r="Y701" s="7"/>
      <c r="Z701" s="7"/>
      <c r="AA701" s="7"/>
      <c r="AB701" s="7">
        <f>(U701+X701+Z701)/3</f>
        <v>1</v>
      </c>
      <c r="AC701" s="7">
        <f t="shared" si="49"/>
        <v>1</v>
      </c>
      <c r="AD701" s="7"/>
      <c r="AE701" s="7">
        <v>1</v>
      </c>
      <c r="AF701" s="7" t="s">
        <v>40</v>
      </c>
      <c r="AG701" s="7" t="s">
        <v>606</v>
      </c>
      <c r="AH701" s="7"/>
      <c r="AI701" s="7"/>
      <c r="AJ701" s="7"/>
      <c r="AK701" s="7"/>
      <c r="AL701" s="9"/>
      <c r="AM701" s="7" t="s">
        <v>42</v>
      </c>
      <c r="AN701" s="7" t="s">
        <v>42</v>
      </c>
      <c r="AO701" s="12"/>
    </row>
    <row r="702" spans="1:41" s="11" customFormat="1" x14ac:dyDescent="0.25">
      <c r="A702" s="2">
        <v>701</v>
      </c>
      <c r="B702" s="7" t="s">
        <v>579</v>
      </c>
      <c r="C702" s="7" t="s">
        <v>119</v>
      </c>
      <c r="D702" s="7">
        <v>4</v>
      </c>
      <c r="E702" s="7">
        <v>4</v>
      </c>
      <c r="F702" s="8">
        <v>1</v>
      </c>
      <c r="G702" s="8">
        <v>1</v>
      </c>
      <c r="H702" s="7">
        <v>1</v>
      </c>
      <c r="I702" s="7">
        <v>1</v>
      </c>
      <c r="J702" s="9" t="s">
        <v>35</v>
      </c>
      <c r="K702" s="7">
        <v>1</v>
      </c>
      <c r="L702" s="7" t="s">
        <v>52</v>
      </c>
      <c r="M702" s="7">
        <f t="shared" si="48"/>
        <v>1</v>
      </c>
      <c r="N702" s="9" t="s">
        <v>34</v>
      </c>
      <c r="O702" s="7">
        <v>0</v>
      </c>
      <c r="P702" s="9" t="s">
        <v>63</v>
      </c>
      <c r="Q702" s="7"/>
      <c r="R702" s="7" t="s">
        <v>38</v>
      </c>
      <c r="S702" s="10" t="s">
        <v>1714</v>
      </c>
      <c r="T702" s="7"/>
      <c r="U702" s="7"/>
      <c r="V702" s="7"/>
      <c r="W702" s="7"/>
      <c r="X702" s="7"/>
      <c r="Y702" s="7"/>
      <c r="Z702" s="7"/>
      <c r="AA702" s="7"/>
      <c r="AB702" s="7">
        <v>0.33333333333333298</v>
      </c>
      <c r="AC702" s="7">
        <f t="shared" si="49"/>
        <v>0.33333333333333298</v>
      </c>
      <c r="AD702" s="7"/>
      <c r="AE702" s="7"/>
      <c r="AF702" s="7" t="s">
        <v>40</v>
      </c>
      <c r="AG702" s="7" t="s">
        <v>120</v>
      </c>
      <c r="AH702" s="7"/>
      <c r="AI702" s="7"/>
      <c r="AJ702" s="7"/>
      <c r="AK702" s="7"/>
      <c r="AL702" s="9"/>
      <c r="AM702" s="7" t="s">
        <v>71</v>
      </c>
      <c r="AN702" s="7" t="s">
        <v>71</v>
      </c>
      <c r="AO702" s="12"/>
    </row>
    <row r="703" spans="1:41" s="11" customFormat="1" x14ac:dyDescent="0.25">
      <c r="A703" s="2">
        <v>702</v>
      </c>
      <c r="B703" s="7" t="s">
        <v>579</v>
      </c>
      <c r="C703" s="7" t="s">
        <v>104</v>
      </c>
      <c r="D703" s="7">
        <v>4</v>
      </c>
      <c r="E703" s="7">
        <v>4</v>
      </c>
      <c r="F703" s="8">
        <v>1</v>
      </c>
      <c r="G703" s="8">
        <v>1</v>
      </c>
      <c r="H703" s="7">
        <v>1</v>
      </c>
      <c r="I703" s="7">
        <v>1</v>
      </c>
      <c r="J703" s="9" t="s">
        <v>35</v>
      </c>
      <c r="K703" s="7">
        <v>2</v>
      </c>
      <c r="L703" s="7" t="s">
        <v>52</v>
      </c>
      <c r="M703" s="7">
        <f t="shared" si="48"/>
        <v>1</v>
      </c>
      <c r="N703" s="9" t="s">
        <v>34</v>
      </c>
      <c r="O703" s="7">
        <v>0</v>
      </c>
      <c r="P703" s="9" t="s">
        <v>33</v>
      </c>
      <c r="Q703" s="7" t="s">
        <v>38</v>
      </c>
      <c r="R703" s="7" t="s">
        <v>38</v>
      </c>
      <c r="S703" s="7"/>
      <c r="T703" s="7"/>
      <c r="U703" s="7"/>
      <c r="V703" s="7"/>
      <c r="W703" s="7"/>
      <c r="X703" s="7">
        <v>3</v>
      </c>
      <c r="Y703" s="7"/>
      <c r="Z703" s="7"/>
      <c r="AA703" s="7"/>
      <c r="AB703" s="7">
        <f t="shared" ref="AB703:AB708" si="51">(U703+X703+Z703)/3</f>
        <v>1</v>
      </c>
      <c r="AC703" s="7">
        <f t="shared" si="49"/>
        <v>1</v>
      </c>
      <c r="AD703" s="7"/>
      <c r="AE703" s="7">
        <v>1</v>
      </c>
      <c r="AF703" s="7"/>
      <c r="AG703" s="7" t="s">
        <v>607</v>
      </c>
      <c r="AH703" s="7"/>
      <c r="AI703" s="7"/>
      <c r="AJ703" s="7"/>
      <c r="AK703" s="7"/>
      <c r="AL703" s="9"/>
      <c r="AM703" s="7" t="s">
        <v>71</v>
      </c>
      <c r="AN703" s="7" t="s">
        <v>71</v>
      </c>
      <c r="AO703" s="12"/>
    </row>
    <row r="704" spans="1:41" s="11" customFormat="1" x14ac:dyDescent="0.25">
      <c r="A704" s="2">
        <v>703</v>
      </c>
      <c r="B704" s="7" t="s">
        <v>579</v>
      </c>
      <c r="C704" s="7" t="s">
        <v>104</v>
      </c>
      <c r="D704" s="7">
        <v>4</v>
      </c>
      <c r="E704" s="7">
        <v>4</v>
      </c>
      <c r="F704" s="8">
        <v>1</v>
      </c>
      <c r="G704" s="8">
        <v>1</v>
      </c>
      <c r="H704" s="7">
        <v>1</v>
      </c>
      <c r="I704" s="7">
        <v>1</v>
      </c>
      <c r="J704" s="9" t="s">
        <v>35</v>
      </c>
      <c r="K704" s="7">
        <v>1</v>
      </c>
      <c r="L704" s="7" t="s">
        <v>52</v>
      </c>
      <c r="M704" s="7">
        <f t="shared" si="48"/>
        <v>1</v>
      </c>
      <c r="N704" s="9" t="s">
        <v>34</v>
      </c>
      <c r="O704" s="7">
        <v>0</v>
      </c>
      <c r="P704" s="9" t="s">
        <v>37</v>
      </c>
      <c r="Q704" s="7" t="s">
        <v>38</v>
      </c>
      <c r="R704" s="7" t="s">
        <v>38</v>
      </c>
      <c r="S704" s="10" t="s">
        <v>1753</v>
      </c>
      <c r="T704" s="7"/>
      <c r="U704" s="7"/>
      <c r="V704" s="7"/>
      <c r="W704" s="7"/>
      <c r="X704" s="7">
        <v>3</v>
      </c>
      <c r="Y704" s="7"/>
      <c r="Z704" s="7"/>
      <c r="AA704" s="7"/>
      <c r="AB704" s="7">
        <f t="shared" si="51"/>
        <v>1</v>
      </c>
      <c r="AC704" s="7">
        <f t="shared" si="49"/>
        <v>1</v>
      </c>
      <c r="AD704" s="7"/>
      <c r="AE704" s="7">
        <v>1</v>
      </c>
      <c r="AF704" s="7"/>
      <c r="AG704" s="7" t="s">
        <v>607</v>
      </c>
      <c r="AH704" s="7"/>
      <c r="AI704" s="7"/>
      <c r="AJ704" s="7"/>
      <c r="AK704" s="7"/>
      <c r="AL704" s="9"/>
      <c r="AM704" s="7" t="s">
        <v>71</v>
      </c>
      <c r="AN704" s="7" t="s">
        <v>71</v>
      </c>
      <c r="AO704" s="12"/>
    </row>
    <row r="705" spans="1:41" s="11" customFormat="1" x14ac:dyDescent="0.25">
      <c r="A705" s="2">
        <v>704</v>
      </c>
      <c r="B705" s="7" t="s">
        <v>579</v>
      </c>
      <c r="C705" s="7" t="s">
        <v>89</v>
      </c>
      <c r="D705" s="7" t="s">
        <v>608</v>
      </c>
      <c r="E705" s="7">
        <f>30+11+21+15+12+6+2+5</f>
        <v>102</v>
      </c>
      <c r="F705" s="8">
        <v>16</v>
      </c>
      <c r="G705" s="8">
        <v>20</v>
      </c>
      <c r="H705" s="7" t="s">
        <v>609</v>
      </c>
      <c r="I705" s="7">
        <v>20</v>
      </c>
      <c r="J705" s="9" t="s">
        <v>35</v>
      </c>
      <c r="K705" s="7">
        <v>2</v>
      </c>
      <c r="L705" s="7" t="s">
        <v>52</v>
      </c>
      <c r="M705" s="7">
        <f t="shared" si="48"/>
        <v>16</v>
      </c>
      <c r="N705" s="9"/>
      <c r="O705" s="7"/>
      <c r="P705" s="9"/>
      <c r="Q705" s="7"/>
      <c r="R705" s="7"/>
      <c r="S705" s="7"/>
      <c r="T705" s="7"/>
      <c r="U705" s="7"/>
      <c r="V705" s="7"/>
      <c r="W705" s="7"/>
      <c r="X705" s="7">
        <v>3</v>
      </c>
      <c r="Y705" s="7"/>
      <c r="Z705" s="7"/>
      <c r="AA705" s="7"/>
      <c r="AB705" s="7">
        <f t="shared" si="51"/>
        <v>1</v>
      </c>
      <c r="AC705" s="7">
        <f t="shared" si="49"/>
        <v>1</v>
      </c>
      <c r="AD705" s="7"/>
      <c r="AE705" s="7"/>
      <c r="AF705" s="7"/>
      <c r="AG705" s="7"/>
      <c r="AH705" s="7"/>
      <c r="AI705" s="7"/>
      <c r="AJ705" s="7"/>
      <c r="AK705" s="7"/>
      <c r="AL705" s="9"/>
      <c r="AM705" s="7" t="s">
        <v>71</v>
      </c>
      <c r="AN705" s="7" t="s">
        <v>71</v>
      </c>
      <c r="AO705" s="12"/>
    </row>
    <row r="706" spans="1:41" s="11" customFormat="1" ht="24" x14ac:dyDescent="0.25">
      <c r="A706" s="2">
        <v>705</v>
      </c>
      <c r="B706" s="7" t="s">
        <v>579</v>
      </c>
      <c r="C706" s="7" t="s">
        <v>89</v>
      </c>
      <c r="D706" s="7" t="s">
        <v>610</v>
      </c>
      <c r="E706" s="7">
        <f>32+26+11+30+8+6+20+12+6+2+3</f>
        <v>156</v>
      </c>
      <c r="F706" s="8">
        <v>17</v>
      </c>
      <c r="G706" s="8">
        <v>17</v>
      </c>
      <c r="H706" s="7" t="s">
        <v>611</v>
      </c>
      <c r="I706" s="7">
        <v>17</v>
      </c>
      <c r="J706" s="9" t="s">
        <v>35</v>
      </c>
      <c r="K706" s="7">
        <v>1</v>
      </c>
      <c r="L706" s="7" t="s">
        <v>52</v>
      </c>
      <c r="M706" s="7">
        <f t="shared" ref="M706:M769" si="52">IF(L706="n",F706,0)</f>
        <v>17</v>
      </c>
      <c r="N706" s="9"/>
      <c r="O706" s="7"/>
      <c r="P706" s="9"/>
      <c r="Q706" s="7"/>
      <c r="R706" s="7"/>
      <c r="S706" s="7"/>
      <c r="T706" s="7"/>
      <c r="U706" s="7"/>
      <c r="V706" s="7"/>
      <c r="W706" s="7"/>
      <c r="X706" s="7">
        <v>3</v>
      </c>
      <c r="Y706" s="7"/>
      <c r="Z706" s="7"/>
      <c r="AA706" s="7"/>
      <c r="AB706" s="7">
        <f t="shared" si="51"/>
        <v>1</v>
      </c>
      <c r="AC706" s="7">
        <f t="shared" ref="AC706:AC769" si="53">IF(L706="n",AB706,0)</f>
        <v>1</v>
      </c>
      <c r="AD706" s="7"/>
      <c r="AE706" s="7"/>
      <c r="AF706" s="7"/>
      <c r="AG706" s="7"/>
      <c r="AH706" s="7"/>
      <c r="AI706" s="7"/>
      <c r="AJ706" s="7"/>
      <c r="AK706" s="7"/>
      <c r="AL706" s="9"/>
      <c r="AM706" s="7" t="s">
        <v>71</v>
      </c>
      <c r="AN706" s="7" t="s">
        <v>71</v>
      </c>
      <c r="AO706" s="12"/>
    </row>
    <row r="707" spans="1:41" s="11" customFormat="1" x14ac:dyDescent="0.25">
      <c r="A707" s="2">
        <v>706</v>
      </c>
      <c r="B707" s="7" t="s">
        <v>579</v>
      </c>
      <c r="C707" s="7" t="s">
        <v>100</v>
      </c>
      <c r="D707" s="7">
        <v>22</v>
      </c>
      <c r="E707" s="7">
        <v>22</v>
      </c>
      <c r="F707" s="8">
        <v>1</v>
      </c>
      <c r="G707" s="8">
        <v>1</v>
      </c>
      <c r="H707" s="7">
        <v>1</v>
      </c>
      <c r="I707" s="7">
        <v>1</v>
      </c>
      <c r="J707" s="9" t="s">
        <v>35</v>
      </c>
      <c r="K707" s="7">
        <v>2</v>
      </c>
      <c r="L707" s="7" t="s">
        <v>52</v>
      </c>
      <c r="M707" s="7">
        <f t="shared" si="52"/>
        <v>1</v>
      </c>
      <c r="N707" s="9" t="s">
        <v>34</v>
      </c>
      <c r="O707" s="7">
        <v>0</v>
      </c>
      <c r="P707" s="9" t="s">
        <v>33</v>
      </c>
      <c r="Q707" s="7" t="s">
        <v>52</v>
      </c>
      <c r="R707" s="7" t="s">
        <v>38</v>
      </c>
      <c r="S707" s="7"/>
      <c r="T707" s="7"/>
      <c r="U707" s="7"/>
      <c r="V707" s="7"/>
      <c r="W707" s="7"/>
      <c r="X707" s="7">
        <v>3</v>
      </c>
      <c r="Y707" s="7"/>
      <c r="Z707" s="7"/>
      <c r="AA707" s="7"/>
      <c r="AB707" s="7">
        <f t="shared" si="51"/>
        <v>1</v>
      </c>
      <c r="AC707" s="7">
        <f t="shared" si="53"/>
        <v>1</v>
      </c>
      <c r="AD707" s="7"/>
      <c r="AE707" s="7"/>
      <c r="AF707" s="7"/>
      <c r="AG707" s="7"/>
      <c r="AH707" s="7"/>
      <c r="AI707" s="7"/>
      <c r="AJ707" s="7"/>
      <c r="AK707" s="7"/>
      <c r="AL707" s="9"/>
      <c r="AM707" s="7" t="s">
        <v>71</v>
      </c>
      <c r="AN707" s="7" t="s">
        <v>71</v>
      </c>
      <c r="AO707" s="12"/>
    </row>
    <row r="708" spans="1:41" s="11" customFormat="1" x14ac:dyDescent="0.25">
      <c r="A708" s="2">
        <v>707</v>
      </c>
      <c r="B708" s="7" t="s">
        <v>579</v>
      </c>
      <c r="C708" s="7" t="s">
        <v>50</v>
      </c>
      <c r="D708" s="7">
        <v>19</v>
      </c>
      <c r="E708" s="7">
        <v>19</v>
      </c>
      <c r="F708" s="8">
        <v>1</v>
      </c>
      <c r="G708" s="8">
        <v>1</v>
      </c>
      <c r="H708" s="7">
        <v>1</v>
      </c>
      <c r="I708" s="7">
        <v>1</v>
      </c>
      <c r="J708" s="9" t="s">
        <v>70</v>
      </c>
      <c r="K708" s="7">
        <v>1</v>
      </c>
      <c r="L708" s="7" t="s">
        <v>52</v>
      </c>
      <c r="M708" s="7">
        <f t="shared" si="52"/>
        <v>1</v>
      </c>
      <c r="N708" s="9" t="s">
        <v>34</v>
      </c>
      <c r="O708" s="7">
        <v>0</v>
      </c>
      <c r="P708" s="9" t="s">
        <v>33</v>
      </c>
      <c r="Q708" s="7" t="s">
        <v>38</v>
      </c>
      <c r="R708" s="7" t="s">
        <v>38</v>
      </c>
      <c r="S708" s="10" t="s">
        <v>1892</v>
      </c>
      <c r="T708" s="7"/>
      <c r="U708" s="7"/>
      <c r="V708" s="7"/>
      <c r="W708" s="7"/>
      <c r="X708" s="7"/>
      <c r="Y708" s="7">
        <v>15</v>
      </c>
      <c r="Z708" s="7">
        <v>15</v>
      </c>
      <c r="AA708" s="7">
        <v>70</v>
      </c>
      <c r="AB708" s="7">
        <f t="shared" si="51"/>
        <v>5</v>
      </c>
      <c r="AC708" s="7">
        <f t="shared" si="53"/>
        <v>5</v>
      </c>
      <c r="AD708" s="7"/>
      <c r="AE708" s="7"/>
      <c r="AF708" s="7"/>
      <c r="AG708" s="7"/>
      <c r="AH708" s="7"/>
      <c r="AI708" s="7"/>
      <c r="AJ708" s="7"/>
      <c r="AK708" s="7"/>
      <c r="AL708" s="9"/>
      <c r="AM708" s="7" t="s">
        <v>71</v>
      </c>
      <c r="AN708" s="7" t="s">
        <v>71</v>
      </c>
      <c r="AO708" s="12"/>
    </row>
    <row r="709" spans="1:41" s="11" customFormat="1" x14ac:dyDescent="0.25">
      <c r="A709" s="2">
        <v>708</v>
      </c>
      <c r="B709" s="7" t="s">
        <v>579</v>
      </c>
      <c r="C709" s="7" t="s">
        <v>119</v>
      </c>
      <c r="D709" s="7">
        <v>39</v>
      </c>
      <c r="E709" s="7">
        <v>39</v>
      </c>
      <c r="F709" s="8">
        <v>1</v>
      </c>
      <c r="G709" s="8">
        <v>1</v>
      </c>
      <c r="H709" s="7">
        <v>1</v>
      </c>
      <c r="I709" s="7">
        <v>1</v>
      </c>
      <c r="J709" s="9" t="s">
        <v>70</v>
      </c>
      <c r="K709" s="7">
        <v>1</v>
      </c>
      <c r="L709" s="7" t="s">
        <v>52</v>
      </c>
      <c r="M709" s="7">
        <f t="shared" si="52"/>
        <v>1</v>
      </c>
      <c r="N709" s="9" t="s">
        <v>34</v>
      </c>
      <c r="O709" s="7">
        <v>0</v>
      </c>
      <c r="P709" s="9" t="s">
        <v>37</v>
      </c>
      <c r="Q709" s="7" t="s">
        <v>38</v>
      </c>
      <c r="R709" s="7" t="s">
        <v>38</v>
      </c>
      <c r="S709" s="7" t="s">
        <v>246</v>
      </c>
      <c r="T709" s="7"/>
      <c r="U709" s="7"/>
      <c r="V709" s="7"/>
      <c r="W709" s="7"/>
      <c r="X709" s="7"/>
      <c r="Y709" s="7"/>
      <c r="Z709" s="7"/>
      <c r="AA709" s="7"/>
      <c r="AB709" s="7">
        <v>0.33333333333333298</v>
      </c>
      <c r="AC709" s="7">
        <f t="shared" si="53"/>
        <v>0.33333333333333298</v>
      </c>
      <c r="AD709" s="7">
        <v>1</v>
      </c>
      <c r="AE709" s="7"/>
      <c r="AF709" s="7" t="s">
        <v>40</v>
      </c>
      <c r="AG709" s="7" t="s">
        <v>612</v>
      </c>
      <c r="AH709" s="7"/>
      <c r="AI709" s="7"/>
      <c r="AJ709" s="7"/>
      <c r="AK709" s="7"/>
      <c r="AL709" s="9"/>
      <c r="AM709" s="7" t="s">
        <v>71</v>
      </c>
      <c r="AN709" s="7" t="s">
        <v>71</v>
      </c>
      <c r="AO709" s="15" t="s">
        <v>2563</v>
      </c>
    </row>
    <row r="710" spans="1:41" s="11" customFormat="1" x14ac:dyDescent="0.25">
      <c r="A710" s="2">
        <v>709</v>
      </c>
      <c r="B710" s="7" t="s">
        <v>579</v>
      </c>
      <c r="C710" s="7" t="s">
        <v>89</v>
      </c>
      <c r="D710" s="7" t="s">
        <v>613</v>
      </c>
      <c r="E710" s="7">
        <f>15+17+11+16+9+2+3</f>
        <v>73</v>
      </c>
      <c r="F710" s="8">
        <v>14</v>
      </c>
      <c r="G710" s="8">
        <v>16</v>
      </c>
      <c r="H710" s="7" t="s">
        <v>614</v>
      </c>
      <c r="I710" s="7">
        <v>16</v>
      </c>
      <c r="J710" s="9" t="s">
        <v>70</v>
      </c>
      <c r="K710" s="7">
        <v>1</v>
      </c>
      <c r="L710" s="7" t="s">
        <v>52</v>
      </c>
      <c r="M710" s="7">
        <f t="shared" si="52"/>
        <v>14</v>
      </c>
      <c r="N710" s="9"/>
      <c r="O710" s="7"/>
      <c r="P710" s="9"/>
      <c r="Q710" s="7"/>
      <c r="R710" s="7"/>
      <c r="S710" s="7"/>
      <c r="T710" s="7"/>
      <c r="U710" s="7"/>
      <c r="V710" s="7"/>
      <c r="W710" s="7"/>
      <c r="X710" s="7">
        <v>3</v>
      </c>
      <c r="Y710" s="7"/>
      <c r="Z710" s="7"/>
      <c r="AA710" s="7"/>
      <c r="AB710" s="7">
        <f t="shared" ref="AB710:AB741" si="54">(U710+X710+Z710)/3</f>
        <v>1</v>
      </c>
      <c r="AC710" s="7">
        <f t="shared" si="53"/>
        <v>1</v>
      </c>
      <c r="AD710" s="7"/>
      <c r="AE710" s="7"/>
      <c r="AF710" s="7"/>
      <c r="AG710" s="7"/>
      <c r="AH710" s="7"/>
      <c r="AI710" s="7"/>
      <c r="AJ710" s="7"/>
      <c r="AK710" s="7"/>
      <c r="AL710" s="9"/>
      <c r="AM710" s="7" t="s">
        <v>71</v>
      </c>
      <c r="AN710" s="7" t="s">
        <v>71</v>
      </c>
      <c r="AO710" s="12"/>
    </row>
    <row r="711" spans="1:41" s="11" customFormat="1" x14ac:dyDescent="0.25">
      <c r="A711" s="2">
        <v>710</v>
      </c>
      <c r="B711" s="7" t="s">
        <v>579</v>
      </c>
      <c r="C711" s="7" t="s">
        <v>100</v>
      </c>
      <c r="D711" s="7">
        <v>2</v>
      </c>
      <c r="E711" s="7">
        <v>2</v>
      </c>
      <c r="F711" s="8">
        <v>1</v>
      </c>
      <c r="G711" s="8">
        <v>1</v>
      </c>
      <c r="H711" s="7">
        <v>1</v>
      </c>
      <c r="I711" s="7">
        <v>1</v>
      </c>
      <c r="J711" s="9" t="s">
        <v>70</v>
      </c>
      <c r="K711" s="7">
        <v>2</v>
      </c>
      <c r="L711" s="7" t="s">
        <v>52</v>
      </c>
      <c r="M711" s="7">
        <f t="shared" si="52"/>
        <v>1</v>
      </c>
      <c r="N711" s="9"/>
      <c r="O711" s="7"/>
      <c r="P711" s="9"/>
      <c r="Q711" s="7"/>
      <c r="R711" s="7"/>
      <c r="S711" s="7"/>
      <c r="T711" s="7"/>
      <c r="U711" s="7"/>
      <c r="V711" s="7"/>
      <c r="W711" s="7"/>
      <c r="X711" s="7">
        <v>3</v>
      </c>
      <c r="Y711" s="7"/>
      <c r="Z711" s="7"/>
      <c r="AA711" s="7"/>
      <c r="AB711" s="7">
        <f t="shared" si="54"/>
        <v>1</v>
      </c>
      <c r="AC711" s="7">
        <f t="shared" si="53"/>
        <v>1</v>
      </c>
      <c r="AD711" s="7"/>
      <c r="AE711" s="7"/>
      <c r="AF711" s="7"/>
      <c r="AG711" s="7"/>
      <c r="AH711" s="7"/>
      <c r="AI711" s="7"/>
      <c r="AJ711" s="7"/>
      <c r="AK711" s="7"/>
      <c r="AL711" s="9"/>
      <c r="AM711" s="7" t="s">
        <v>71</v>
      </c>
      <c r="AN711" s="7" t="s">
        <v>71</v>
      </c>
      <c r="AO711" s="12"/>
    </row>
    <row r="712" spans="1:41" s="11" customFormat="1" x14ac:dyDescent="0.25">
      <c r="A712" s="2">
        <v>711</v>
      </c>
      <c r="B712" s="7" t="s">
        <v>579</v>
      </c>
      <c r="C712" s="7" t="s">
        <v>100</v>
      </c>
      <c r="D712" s="7">
        <v>9</v>
      </c>
      <c r="E712" s="7">
        <v>9</v>
      </c>
      <c r="F712" s="8">
        <v>1</v>
      </c>
      <c r="G712" s="8">
        <v>1</v>
      </c>
      <c r="H712" s="7">
        <v>1</v>
      </c>
      <c r="I712" s="7">
        <v>1</v>
      </c>
      <c r="J712" s="9" t="s">
        <v>70</v>
      </c>
      <c r="K712" s="7">
        <v>2</v>
      </c>
      <c r="L712" s="7" t="s">
        <v>52</v>
      </c>
      <c r="M712" s="7">
        <f t="shared" si="52"/>
        <v>1</v>
      </c>
      <c r="N712" s="9" t="s">
        <v>34</v>
      </c>
      <c r="O712" s="7">
        <v>0</v>
      </c>
      <c r="P712" s="9" t="s">
        <v>34</v>
      </c>
      <c r="Q712" s="7" t="s">
        <v>52</v>
      </c>
      <c r="R712" s="7" t="s">
        <v>38</v>
      </c>
      <c r="S712" s="7"/>
      <c r="T712" s="7"/>
      <c r="U712" s="7"/>
      <c r="V712" s="7"/>
      <c r="W712" s="7"/>
      <c r="X712" s="7">
        <v>3</v>
      </c>
      <c r="Y712" s="7"/>
      <c r="Z712" s="7"/>
      <c r="AA712" s="7"/>
      <c r="AB712" s="7">
        <f t="shared" si="54"/>
        <v>1</v>
      </c>
      <c r="AC712" s="7">
        <f t="shared" si="53"/>
        <v>1</v>
      </c>
      <c r="AD712" s="7"/>
      <c r="AE712" s="7"/>
      <c r="AF712" s="7"/>
      <c r="AG712" s="7"/>
      <c r="AH712" s="7"/>
      <c r="AI712" s="7"/>
      <c r="AJ712" s="7"/>
      <c r="AK712" s="7"/>
      <c r="AL712" s="9"/>
      <c r="AM712" s="7" t="s">
        <v>71</v>
      </c>
      <c r="AN712" s="7" t="s">
        <v>71</v>
      </c>
      <c r="AO712" s="12"/>
    </row>
    <row r="713" spans="1:41" s="11" customFormat="1" x14ac:dyDescent="0.25">
      <c r="A713" s="2">
        <v>712</v>
      </c>
      <c r="B713" s="7" t="s">
        <v>579</v>
      </c>
      <c r="C713" s="7" t="s">
        <v>78</v>
      </c>
      <c r="D713" s="7">
        <v>5</v>
      </c>
      <c r="E713" s="7">
        <v>5</v>
      </c>
      <c r="F713" s="8">
        <v>1</v>
      </c>
      <c r="G713" s="8">
        <v>1</v>
      </c>
      <c r="H713" s="7">
        <v>1</v>
      </c>
      <c r="I713" s="7">
        <v>1</v>
      </c>
      <c r="J713" s="9" t="s">
        <v>77</v>
      </c>
      <c r="K713" s="7">
        <v>1</v>
      </c>
      <c r="L713" s="7" t="s">
        <v>52</v>
      </c>
      <c r="M713" s="7">
        <f t="shared" si="52"/>
        <v>1</v>
      </c>
      <c r="N713" s="9" t="s">
        <v>34</v>
      </c>
      <c r="O713" s="7">
        <v>0</v>
      </c>
      <c r="P713" s="9" t="s">
        <v>34</v>
      </c>
      <c r="Q713" s="7" t="s">
        <v>38</v>
      </c>
      <c r="R713" s="7" t="s">
        <v>38</v>
      </c>
      <c r="S713" s="10" t="s">
        <v>1895</v>
      </c>
      <c r="T713" s="7">
        <v>15</v>
      </c>
      <c r="U713" s="7">
        <v>15</v>
      </c>
      <c r="V713" s="7">
        <v>100</v>
      </c>
      <c r="W713" s="7" t="s">
        <v>184</v>
      </c>
      <c r="X713" s="7"/>
      <c r="Y713" s="7"/>
      <c r="Z713" s="7"/>
      <c r="AA713" s="7"/>
      <c r="AB713" s="7">
        <f t="shared" si="54"/>
        <v>5</v>
      </c>
      <c r="AC713" s="7">
        <f t="shared" si="53"/>
        <v>5</v>
      </c>
      <c r="AD713" s="7"/>
      <c r="AE713" s="7"/>
      <c r="AF713" s="7"/>
      <c r="AG713" s="7"/>
      <c r="AH713" s="7"/>
      <c r="AI713" s="7"/>
      <c r="AJ713" s="7"/>
      <c r="AK713" s="7"/>
      <c r="AL713" s="9"/>
      <c r="AM713" s="7" t="s">
        <v>42</v>
      </c>
      <c r="AN713" s="7" t="s">
        <v>42</v>
      </c>
      <c r="AO713" s="12"/>
    </row>
    <row r="714" spans="1:41" s="11" customFormat="1" x14ac:dyDescent="0.25">
      <c r="A714" s="2">
        <v>713</v>
      </c>
      <c r="B714" s="7" t="s">
        <v>579</v>
      </c>
      <c r="C714" s="7" t="s">
        <v>78</v>
      </c>
      <c r="D714" s="7">
        <v>4</v>
      </c>
      <c r="E714" s="7">
        <v>4</v>
      </c>
      <c r="F714" s="8">
        <v>1</v>
      </c>
      <c r="G714" s="8">
        <v>1</v>
      </c>
      <c r="H714" s="7">
        <v>1</v>
      </c>
      <c r="I714" s="7">
        <v>1</v>
      </c>
      <c r="J714" s="9" t="s">
        <v>77</v>
      </c>
      <c r="K714" s="7">
        <v>1</v>
      </c>
      <c r="L714" s="7" t="s">
        <v>38</v>
      </c>
      <c r="M714" s="7">
        <f t="shared" si="52"/>
        <v>0</v>
      </c>
      <c r="N714" s="9" t="s">
        <v>36</v>
      </c>
      <c r="O714" s="7">
        <v>0</v>
      </c>
      <c r="P714" s="9" t="s">
        <v>33</v>
      </c>
      <c r="Q714" s="7" t="s">
        <v>38</v>
      </c>
      <c r="R714" s="7" t="s">
        <v>38</v>
      </c>
      <c r="S714" s="7"/>
      <c r="T714" s="7">
        <v>9</v>
      </c>
      <c r="U714" s="7">
        <v>9</v>
      </c>
      <c r="V714" s="7">
        <v>140</v>
      </c>
      <c r="W714" s="7" t="s">
        <v>184</v>
      </c>
      <c r="X714" s="7"/>
      <c r="Y714" s="7"/>
      <c r="Z714" s="7"/>
      <c r="AA714" s="7"/>
      <c r="AB714" s="7">
        <f t="shared" si="54"/>
        <v>3</v>
      </c>
      <c r="AC714" s="7">
        <f t="shared" si="53"/>
        <v>0</v>
      </c>
      <c r="AD714" s="7"/>
      <c r="AE714" s="7"/>
      <c r="AF714" s="7"/>
      <c r="AG714" s="7"/>
      <c r="AH714" s="7"/>
      <c r="AI714" s="7"/>
      <c r="AJ714" s="7"/>
      <c r="AK714" s="7"/>
      <c r="AL714" s="9"/>
      <c r="AM714" s="7" t="s">
        <v>42</v>
      </c>
      <c r="AN714" s="7" t="s">
        <v>42</v>
      </c>
      <c r="AO714" s="12"/>
    </row>
    <row r="715" spans="1:41" s="11" customFormat="1" ht="24" x14ac:dyDescent="0.25">
      <c r="A715" s="2">
        <v>714</v>
      </c>
      <c r="B715" s="7" t="s">
        <v>579</v>
      </c>
      <c r="C715" s="7" t="s">
        <v>615</v>
      </c>
      <c r="D715" s="7">
        <v>12</v>
      </c>
      <c r="E715" s="7">
        <v>12</v>
      </c>
      <c r="F715" s="8">
        <v>1</v>
      </c>
      <c r="G715" s="8">
        <v>1</v>
      </c>
      <c r="H715" s="7">
        <v>1</v>
      </c>
      <c r="I715" s="7">
        <v>1</v>
      </c>
      <c r="J715" s="9" t="s">
        <v>77</v>
      </c>
      <c r="K715" s="7">
        <v>1</v>
      </c>
      <c r="L715" s="7" t="s">
        <v>38</v>
      </c>
      <c r="M715" s="7">
        <f t="shared" si="52"/>
        <v>0</v>
      </c>
      <c r="N715" s="9" t="s">
        <v>34</v>
      </c>
      <c r="O715" s="7">
        <v>0</v>
      </c>
      <c r="P715" s="9" t="s">
        <v>33</v>
      </c>
      <c r="Q715" s="7" t="s">
        <v>38</v>
      </c>
      <c r="R715" s="7" t="s">
        <v>38</v>
      </c>
      <c r="S715" s="10" t="s">
        <v>1524</v>
      </c>
      <c r="T715" s="7"/>
      <c r="U715" s="7"/>
      <c r="V715" s="7"/>
      <c r="W715" s="7"/>
      <c r="X715" s="7">
        <v>3</v>
      </c>
      <c r="Y715" s="7"/>
      <c r="Z715" s="7"/>
      <c r="AA715" s="7"/>
      <c r="AB715" s="7">
        <f t="shared" si="54"/>
        <v>1</v>
      </c>
      <c r="AC715" s="7">
        <f t="shared" si="53"/>
        <v>0</v>
      </c>
      <c r="AD715" s="7">
        <v>1</v>
      </c>
      <c r="AE715" s="7"/>
      <c r="AF715" s="7" t="s">
        <v>40</v>
      </c>
      <c r="AG715" s="7" t="s">
        <v>616</v>
      </c>
      <c r="AH715" s="7"/>
      <c r="AI715" s="7"/>
      <c r="AJ715" s="7"/>
      <c r="AK715" s="7"/>
      <c r="AL715" s="9"/>
      <c r="AM715" s="7" t="s">
        <v>42</v>
      </c>
      <c r="AN715" s="7" t="s">
        <v>42</v>
      </c>
      <c r="AO715" s="12"/>
    </row>
    <row r="716" spans="1:41" s="11" customFormat="1" x14ac:dyDescent="0.25">
      <c r="A716" s="2">
        <v>715</v>
      </c>
      <c r="B716" s="7" t="s">
        <v>579</v>
      </c>
      <c r="C716" s="7" t="s">
        <v>89</v>
      </c>
      <c r="D716" s="7" t="s">
        <v>394</v>
      </c>
      <c r="E716" s="7">
        <v>12</v>
      </c>
      <c r="F716" s="8">
        <v>2</v>
      </c>
      <c r="G716" s="8">
        <v>3</v>
      </c>
      <c r="H716" s="7" t="s">
        <v>293</v>
      </c>
      <c r="I716" s="7">
        <v>3</v>
      </c>
      <c r="J716" s="9" t="s">
        <v>77</v>
      </c>
      <c r="K716" s="7">
        <v>1</v>
      </c>
      <c r="L716" s="7" t="s">
        <v>38</v>
      </c>
      <c r="M716" s="7">
        <f t="shared" si="52"/>
        <v>0</v>
      </c>
      <c r="N716" s="9"/>
      <c r="O716" s="7"/>
      <c r="P716" s="9"/>
      <c r="Q716" s="7"/>
      <c r="R716" s="7"/>
      <c r="S716" s="7"/>
      <c r="T716" s="7"/>
      <c r="U716" s="7"/>
      <c r="V716" s="7"/>
      <c r="W716" s="7"/>
      <c r="X716" s="7">
        <v>3</v>
      </c>
      <c r="Y716" s="7"/>
      <c r="Z716" s="7"/>
      <c r="AA716" s="7"/>
      <c r="AB716" s="7">
        <f t="shared" si="54"/>
        <v>1</v>
      </c>
      <c r="AC716" s="7">
        <f t="shared" si="53"/>
        <v>0</v>
      </c>
      <c r="AD716" s="7"/>
      <c r="AE716" s="7"/>
      <c r="AF716" s="7"/>
      <c r="AG716" s="7"/>
      <c r="AH716" s="7"/>
      <c r="AI716" s="7"/>
      <c r="AJ716" s="7"/>
      <c r="AK716" s="7"/>
      <c r="AL716" s="9"/>
      <c r="AM716" s="7" t="s">
        <v>71</v>
      </c>
      <c r="AN716" s="7" t="s">
        <v>71</v>
      </c>
      <c r="AO716" s="12"/>
    </row>
    <row r="717" spans="1:41" s="11" customFormat="1" ht="24" x14ac:dyDescent="0.25">
      <c r="A717" s="2">
        <v>716</v>
      </c>
      <c r="B717" s="7" t="s">
        <v>579</v>
      </c>
      <c r="C717" s="7" t="s">
        <v>78</v>
      </c>
      <c r="D717" s="7">
        <v>55</v>
      </c>
      <c r="E717" s="7">
        <v>55</v>
      </c>
      <c r="F717" s="8">
        <v>1</v>
      </c>
      <c r="G717" s="8">
        <v>1</v>
      </c>
      <c r="H717" s="7">
        <v>1</v>
      </c>
      <c r="I717" s="7">
        <v>1</v>
      </c>
      <c r="J717" s="9" t="s">
        <v>219</v>
      </c>
      <c r="K717" s="7">
        <v>13</v>
      </c>
      <c r="L717" s="7" t="s">
        <v>52</v>
      </c>
      <c r="M717" s="7">
        <f t="shared" si="52"/>
        <v>1</v>
      </c>
      <c r="N717" s="9" t="s">
        <v>36</v>
      </c>
      <c r="O717" s="7">
        <v>0</v>
      </c>
      <c r="P717" s="9" t="s">
        <v>34</v>
      </c>
      <c r="Q717" s="7" t="s">
        <v>38</v>
      </c>
      <c r="R717" s="7" t="s">
        <v>38</v>
      </c>
      <c r="S717" s="10" t="s">
        <v>1896</v>
      </c>
      <c r="T717" s="7">
        <v>15</v>
      </c>
      <c r="U717" s="7">
        <v>15</v>
      </c>
      <c r="V717" s="7">
        <v>170</v>
      </c>
      <c r="W717" s="7" t="s">
        <v>617</v>
      </c>
      <c r="X717" s="7"/>
      <c r="Y717" s="7"/>
      <c r="Z717" s="7"/>
      <c r="AA717" s="7"/>
      <c r="AB717" s="7">
        <f t="shared" si="54"/>
        <v>5</v>
      </c>
      <c r="AC717" s="7">
        <f t="shared" si="53"/>
        <v>5</v>
      </c>
      <c r="AD717" s="7"/>
      <c r="AE717" s="7"/>
      <c r="AF717" s="7"/>
      <c r="AG717" s="7"/>
      <c r="AH717" s="7"/>
      <c r="AI717" s="7"/>
      <c r="AJ717" s="7"/>
      <c r="AK717" s="7" t="s">
        <v>252</v>
      </c>
      <c r="AL717" s="9"/>
      <c r="AM717" s="7" t="s">
        <v>221</v>
      </c>
      <c r="AN717" s="7" t="s">
        <v>662</v>
      </c>
      <c r="AO717" s="12"/>
    </row>
    <row r="718" spans="1:41" s="11" customFormat="1" x14ac:dyDescent="0.25">
      <c r="A718" s="2">
        <v>717</v>
      </c>
      <c r="B718" s="7" t="s">
        <v>579</v>
      </c>
      <c r="C718" s="7" t="s">
        <v>104</v>
      </c>
      <c r="D718" s="7">
        <v>20</v>
      </c>
      <c r="E718" s="7">
        <v>20</v>
      </c>
      <c r="F718" s="8">
        <v>1</v>
      </c>
      <c r="G718" s="8">
        <v>1</v>
      </c>
      <c r="H718" s="7">
        <v>1</v>
      </c>
      <c r="I718" s="7">
        <v>1</v>
      </c>
      <c r="J718" s="9" t="s">
        <v>219</v>
      </c>
      <c r="K718" s="7">
        <v>13</v>
      </c>
      <c r="L718" s="7" t="s">
        <v>52</v>
      </c>
      <c r="M718" s="7">
        <f t="shared" si="52"/>
        <v>1</v>
      </c>
      <c r="N718" s="9" t="s">
        <v>34</v>
      </c>
      <c r="O718" s="7">
        <v>0</v>
      </c>
      <c r="P718" s="9" t="s">
        <v>34</v>
      </c>
      <c r="Q718" s="7" t="s">
        <v>38</v>
      </c>
      <c r="R718" s="7" t="s">
        <v>38</v>
      </c>
      <c r="S718" s="10" t="s">
        <v>1589</v>
      </c>
      <c r="T718" s="7"/>
      <c r="U718" s="7"/>
      <c r="V718" s="7"/>
      <c r="W718" s="7"/>
      <c r="X718" s="7">
        <v>3</v>
      </c>
      <c r="Y718" s="7"/>
      <c r="Z718" s="7"/>
      <c r="AA718" s="7"/>
      <c r="AB718" s="7">
        <f t="shared" si="54"/>
        <v>1</v>
      </c>
      <c r="AC718" s="7">
        <f t="shared" si="53"/>
        <v>1</v>
      </c>
      <c r="AD718" s="7"/>
      <c r="AE718" s="7">
        <v>1</v>
      </c>
      <c r="AF718" s="7"/>
      <c r="AG718" s="7" t="s">
        <v>618</v>
      </c>
      <c r="AH718" s="7"/>
      <c r="AI718" s="7"/>
      <c r="AJ718" s="7"/>
      <c r="AK718" s="7"/>
      <c r="AL718" s="9"/>
      <c r="AM718" s="7" t="s">
        <v>71</v>
      </c>
      <c r="AN718" s="7" t="s">
        <v>71</v>
      </c>
      <c r="AO718" s="12"/>
    </row>
    <row r="719" spans="1:41" s="11" customFormat="1" ht="24" x14ac:dyDescent="0.25">
      <c r="A719" s="2">
        <v>718</v>
      </c>
      <c r="B719" s="7" t="s">
        <v>579</v>
      </c>
      <c r="C719" s="7" t="s">
        <v>89</v>
      </c>
      <c r="D719" s="7" t="s">
        <v>619</v>
      </c>
      <c r="E719" s="7">
        <f>85+55+31+30+27+25+22+19+17+17+13+11+10+14+12+9+3</f>
        <v>400</v>
      </c>
      <c r="F719" s="8">
        <v>12</v>
      </c>
      <c r="G719" s="8">
        <v>20</v>
      </c>
      <c r="H719" s="7" t="s">
        <v>620</v>
      </c>
      <c r="I719" s="7">
        <v>20</v>
      </c>
      <c r="J719" s="9" t="s">
        <v>219</v>
      </c>
      <c r="K719" s="7">
        <v>13</v>
      </c>
      <c r="L719" s="7" t="s">
        <v>52</v>
      </c>
      <c r="M719" s="7">
        <f t="shared" si="52"/>
        <v>12</v>
      </c>
      <c r="N719" s="9"/>
      <c r="O719" s="7"/>
      <c r="P719" s="9"/>
      <c r="Q719" s="7"/>
      <c r="R719" s="7"/>
      <c r="S719" s="7"/>
      <c r="T719" s="7"/>
      <c r="U719" s="7"/>
      <c r="V719" s="7"/>
      <c r="W719" s="7"/>
      <c r="X719" s="7">
        <v>3</v>
      </c>
      <c r="Y719" s="7"/>
      <c r="Z719" s="7"/>
      <c r="AA719" s="7"/>
      <c r="AB719" s="7">
        <f t="shared" si="54"/>
        <v>1</v>
      </c>
      <c r="AC719" s="7">
        <f t="shared" si="53"/>
        <v>1</v>
      </c>
      <c r="AD719" s="7"/>
      <c r="AE719" s="7"/>
      <c r="AF719" s="7"/>
      <c r="AG719" s="7"/>
      <c r="AH719" s="7"/>
      <c r="AI719" s="7"/>
      <c r="AJ719" s="7"/>
      <c r="AK719" s="7"/>
      <c r="AL719" s="9"/>
      <c r="AM719" s="7" t="s">
        <v>71</v>
      </c>
      <c r="AN719" s="7" t="s">
        <v>71</v>
      </c>
      <c r="AO719" s="12"/>
    </row>
    <row r="720" spans="1:41" s="11" customFormat="1" x14ac:dyDescent="0.25">
      <c r="A720" s="2">
        <v>719</v>
      </c>
      <c r="B720" s="7" t="s">
        <v>579</v>
      </c>
      <c r="C720" s="7" t="s">
        <v>100</v>
      </c>
      <c r="D720" s="7">
        <v>19</v>
      </c>
      <c r="E720" s="7">
        <v>19</v>
      </c>
      <c r="F720" s="8">
        <v>1</v>
      </c>
      <c r="G720" s="8">
        <v>1</v>
      </c>
      <c r="H720" s="7">
        <v>1</v>
      </c>
      <c r="I720" s="7">
        <v>1</v>
      </c>
      <c r="J720" s="9" t="s">
        <v>219</v>
      </c>
      <c r="K720" s="7">
        <v>13</v>
      </c>
      <c r="L720" s="7" t="s">
        <v>52</v>
      </c>
      <c r="M720" s="7">
        <f t="shared" si="52"/>
        <v>1</v>
      </c>
      <c r="N720" s="9"/>
      <c r="O720" s="7"/>
      <c r="P720" s="9"/>
      <c r="Q720" s="7" t="s">
        <v>38</v>
      </c>
      <c r="R720" s="7" t="s">
        <v>38</v>
      </c>
      <c r="S720" s="10" t="s">
        <v>1645</v>
      </c>
      <c r="T720" s="7"/>
      <c r="U720" s="7"/>
      <c r="V720" s="7"/>
      <c r="W720" s="7"/>
      <c r="X720" s="7">
        <v>3</v>
      </c>
      <c r="Y720" s="7"/>
      <c r="Z720" s="7"/>
      <c r="AA720" s="7"/>
      <c r="AB720" s="7">
        <f t="shared" si="54"/>
        <v>1</v>
      </c>
      <c r="AC720" s="7">
        <f t="shared" si="53"/>
        <v>1</v>
      </c>
      <c r="AD720" s="7"/>
      <c r="AE720" s="7"/>
      <c r="AF720" s="7"/>
      <c r="AG720" s="7"/>
      <c r="AH720" s="7"/>
      <c r="AI720" s="10" t="s">
        <v>1645</v>
      </c>
      <c r="AJ720" s="7"/>
      <c r="AK720" s="7"/>
      <c r="AL720" s="9"/>
      <c r="AM720" s="7" t="s">
        <v>71</v>
      </c>
      <c r="AN720" s="7" t="s">
        <v>71</v>
      </c>
      <c r="AO720" s="12"/>
    </row>
    <row r="721" spans="1:41" s="11" customFormat="1" ht="24" x14ac:dyDescent="0.25">
      <c r="A721" s="2">
        <v>720</v>
      </c>
      <c r="B721" s="7" t="s">
        <v>579</v>
      </c>
      <c r="C721" s="7" t="s">
        <v>621</v>
      </c>
      <c r="D721" s="7" t="s">
        <v>622</v>
      </c>
      <c r="E721" s="7">
        <f>48+46+90+43+36+25+4</f>
        <v>292</v>
      </c>
      <c r="F721" s="8">
        <v>1</v>
      </c>
      <c r="G721" s="9" t="s">
        <v>623</v>
      </c>
      <c r="H721" s="7" t="s">
        <v>130</v>
      </c>
      <c r="I721" s="7">
        <v>9</v>
      </c>
      <c r="J721" s="9" t="s">
        <v>219</v>
      </c>
      <c r="K721" s="7">
        <v>13</v>
      </c>
      <c r="L721" s="7" t="s">
        <v>52</v>
      </c>
      <c r="M721" s="7">
        <f t="shared" si="52"/>
        <v>1</v>
      </c>
      <c r="N721" s="9" t="s">
        <v>34</v>
      </c>
      <c r="O721" s="7">
        <v>0</v>
      </c>
      <c r="P721" s="9" t="s">
        <v>34</v>
      </c>
      <c r="Q721" s="7" t="s">
        <v>38</v>
      </c>
      <c r="R721" s="7" t="s">
        <v>38</v>
      </c>
      <c r="S721" s="10" t="s">
        <v>1897</v>
      </c>
      <c r="T721" s="7" t="s">
        <v>624</v>
      </c>
      <c r="U721" s="7">
        <v>60</v>
      </c>
      <c r="V721" s="7">
        <v>165</v>
      </c>
      <c r="W721" s="7" t="s">
        <v>79</v>
      </c>
      <c r="X721" s="7">
        <v>3</v>
      </c>
      <c r="Y721" s="7"/>
      <c r="Z721" s="7"/>
      <c r="AA721" s="7"/>
      <c r="AB721" s="7">
        <f t="shared" si="54"/>
        <v>21</v>
      </c>
      <c r="AC721" s="7">
        <f t="shared" si="53"/>
        <v>21</v>
      </c>
      <c r="AD721" s="7">
        <v>1</v>
      </c>
      <c r="AE721" s="7">
        <v>2</v>
      </c>
      <c r="AF721" s="7" t="s">
        <v>155</v>
      </c>
      <c r="AG721" s="7" t="s">
        <v>625</v>
      </c>
      <c r="AH721" s="7"/>
      <c r="AI721" s="7"/>
      <c r="AJ721" s="7"/>
      <c r="AK721" s="10" t="s">
        <v>2453</v>
      </c>
      <c r="AL721" s="9"/>
      <c r="AM721" s="7" t="s">
        <v>626</v>
      </c>
      <c r="AN721" s="7" t="s">
        <v>662</v>
      </c>
      <c r="AO721" s="15" t="s">
        <v>2564</v>
      </c>
    </row>
    <row r="722" spans="1:41" s="11" customFormat="1" ht="36" x14ac:dyDescent="0.25">
      <c r="A722" s="2">
        <v>721</v>
      </c>
      <c r="B722" s="7" t="s">
        <v>579</v>
      </c>
      <c r="C722" s="7" t="s">
        <v>32</v>
      </c>
      <c r="D722" s="7" t="s">
        <v>1479</v>
      </c>
      <c r="E722" s="7">
        <f>33+10</f>
        <v>43</v>
      </c>
      <c r="F722" s="8">
        <v>1</v>
      </c>
      <c r="G722" s="9" t="s">
        <v>627</v>
      </c>
      <c r="H722" s="7">
        <v>4</v>
      </c>
      <c r="I722" s="7">
        <v>4</v>
      </c>
      <c r="J722" s="9" t="s">
        <v>176</v>
      </c>
      <c r="K722" s="9" t="s">
        <v>268</v>
      </c>
      <c r="L722" s="7" t="s">
        <v>52</v>
      </c>
      <c r="M722" s="7">
        <f t="shared" si="52"/>
        <v>1</v>
      </c>
      <c r="N722" s="9" t="s">
        <v>177</v>
      </c>
      <c r="O722" s="7">
        <v>0</v>
      </c>
      <c r="P722" s="9" t="s">
        <v>63</v>
      </c>
      <c r="Q722" s="9" t="s">
        <v>38</v>
      </c>
      <c r="R722" s="9" t="s">
        <v>38</v>
      </c>
      <c r="S722" s="13" t="s">
        <v>1898</v>
      </c>
      <c r="T722" s="7"/>
      <c r="U722" s="7"/>
      <c r="V722" s="7"/>
      <c r="W722" s="7"/>
      <c r="X722" s="7">
        <v>25</v>
      </c>
      <c r="Y722" s="7">
        <v>70</v>
      </c>
      <c r="Z722" s="7">
        <v>70</v>
      </c>
      <c r="AA722" s="7">
        <v>55</v>
      </c>
      <c r="AB722" s="7">
        <f t="shared" si="54"/>
        <v>31.666666666666668</v>
      </c>
      <c r="AC722" s="7">
        <f t="shared" si="53"/>
        <v>31.666666666666668</v>
      </c>
      <c r="AD722" s="7"/>
      <c r="AE722" s="7"/>
      <c r="AF722" s="7"/>
      <c r="AG722" s="7"/>
      <c r="AH722" s="7"/>
      <c r="AI722" s="7"/>
      <c r="AJ722" s="7"/>
      <c r="AK722" s="7"/>
      <c r="AL722" s="9"/>
      <c r="AM722" s="7" t="s">
        <v>582</v>
      </c>
      <c r="AN722" s="7" t="s">
        <v>2851</v>
      </c>
      <c r="AO722" s="15" t="s">
        <v>2565</v>
      </c>
    </row>
    <row r="723" spans="1:41" s="11" customFormat="1" x14ac:dyDescent="0.25">
      <c r="A723" s="2">
        <v>722</v>
      </c>
      <c r="B723" s="7" t="s">
        <v>579</v>
      </c>
      <c r="C723" s="7" t="s">
        <v>78</v>
      </c>
      <c r="D723" s="7" t="s">
        <v>139</v>
      </c>
      <c r="E723" s="7">
        <v>11</v>
      </c>
      <c r="F723" s="8">
        <v>1</v>
      </c>
      <c r="G723" s="8">
        <v>2</v>
      </c>
      <c r="H723" s="7">
        <v>2</v>
      </c>
      <c r="I723" s="7">
        <v>2</v>
      </c>
      <c r="J723" s="9" t="s">
        <v>176</v>
      </c>
      <c r="K723" s="9" t="s">
        <v>189</v>
      </c>
      <c r="L723" s="7" t="s">
        <v>52</v>
      </c>
      <c r="M723" s="7">
        <f t="shared" si="52"/>
        <v>1</v>
      </c>
      <c r="N723" s="9" t="s">
        <v>177</v>
      </c>
      <c r="O723" s="7">
        <v>0</v>
      </c>
      <c r="P723" s="9" t="s">
        <v>63</v>
      </c>
      <c r="Q723" s="9" t="s">
        <v>38</v>
      </c>
      <c r="R723" s="9" t="s">
        <v>52</v>
      </c>
      <c r="S723" s="9" t="s">
        <v>628</v>
      </c>
      <c r="T723" s="7">
        <v>10</v>
      </c>
      <c r="U723" s="7">
        <v>10</v>
      </c>
      <c r="V723" s="7">
        <v>190</v>
      </c>
      <c r="W723" s="7" t="s">
        <v>629</v>
      </c>
      <c r="X723" s="7"/>
      <c r="Y723" s="7"/>
      <c r="Z723" s="7"/>
      <c r="AA723" s="7"/>
      <c r="AB723" s="7">
        <f t="shared" si="54"/>
        <v>3.3333333333333335</v>
      </c>
      <c r="AC723" s="7">
        <f t="shared" si="53"/>
        <v>3.3333333333333335</v>
      </c>
      <c r="AD723" s="7"/>
      <c r="AE723" s="7"/>
      <c r="AF723" s="7"/>
      <c r="AG723" s="7"/>
      <c r="AH723" s="7"/>
      <c r="AI723" s="7"/>
      <c r="AJ723" s="7"/>
      <c r="AK723" s="7"/>
      <c r="AL723" s="9"/>
      <c r="AM723" s="7" t="s">
        <v>71</v>
      </c>
      <c r="AN723" s="7" t="s">
        <v>71</v>
      </c>
      <c r="AO723" s="12"/>
    </row>
    <row r="724" spans="1:41" s="11" customFormat="1" x14ac:dyDescent="0.25">
      <c r="A724" s="2">
        <v>723</v>
      </c>
      <c r="B724" s="7" t="s">
        <v>579</v>
      </c>
      <c r="C724" s="7" t="s">
        <v>104</v>
      </c>
      <c r="D724" s="7" t="s">
        <v>630</v>
      </c>
      <c r="E724" s="7">
        <v>24</v>
      </c>
      <c r="F724" s="8">
        <v>1</v>
      </c>
      <c r="G724" s="8">
        <v>3</v>
      </c>
      <c r="H724" s="7">
        <v>3</v>
      </c>
      <c r="I724" s="7">
        <v>3</v>
      </c>
      <c r="J724" s="9" t="s">
        <v>176</v>
      </c>
      <c r="K724" s="7">
        <v>2</v>
      </c>
      <c r="L724" s="7" t="s">
        <v>52</v>
      </c>
      <c r="M724" s="7">
        <f t="shared" si="52"/>
        <v>1</v>
      </c>
      <c r="N724" s="9" t="s">
        <v>177</v>
      </c>
      <c r="O724" s="7">
        <v>0</v>
      </c>
      <c r="P724" s="9" t="s">
        <v>63</v>
      </c>
      <c r="Q724" s="7" t="s">
        <v>38</v>
      </c>
      <c r="R724" s="7" t="s">
        <v>52</v>
      </c>
      <c r="S724" s="10" t="s">
        <v>1565</v>
      </c>
      <c r="T724" s="7"/>
      <c r="U724" s="7"/>
      <c r="V724" s="7"/>
      <c r="W724" s="7"/>
      <c r="X724" s="7">
        <v>3</v>
      </c>
      <c r="Y724" s="7"/>
      <c r="Z724" s="7"/>
      <c r="AA724" s="7"/>
      <c r="AB724" s="7">
        <f t="shared" si="54"/>
        <v>1</v>
      </c>
      <c r="AC724" s="7">
        <f t="shared" si="53"/>
        <v>1</v>
      </c>
      <c r="AD724" s="7"/>
      <c r="AE724" s="7">
        <v>1</v>
      </c>
      <c r="AF724" s="7"/>
      <c r="AG724" s="7" t="s">
        <v>631</v>
      </c>
      <c r="AH724" s="7"/>
      <c r="AI724" s="7"/>
      <c r="AJ724" s="7"/>
      <c r="AK724" s="7"/>
      <c r="AL724" s="9"/>
      <c r="AM724" s="7" t="s">
        <v>71</v>
      </c>
      <c r="AN724" s="7" t="s">
        <v>71</v>
      </c>
      <c r="AO724" s="12"/>
    </row>
    <row r="725" spans="1:41" s="11" customFormat="1" ht="24" x14ac:dyDescent="0.25">
      <c r="A725" s="2">
        <v>724</v>
      </c>
      <c r="B725" s="7" t="s">
        <v>579</v>
      </c>
      <c r="C725" s="7" t="s">
        <v>174</v>
      </c>
      <c r="D725" s="7" t="s">
        <v>632</v>
      </c>
      <c r="E725" s="7">
        <v>31</v>
      </c>
      <c r="F725" s="8">
        <v>1</v>
      </c>
      <c r="G725" s="8">
        <v>4</v>
      </c>
      <c r="H725" s="7">
        <v>4</v>
      </c>
      <c r="I725" s="7">
        <v>4</v>
      </c>
      <c r="J725" s="9" t="s">
        <v>35</v>
      </c>
      <c r="K725" s="7">
        <v>2</v>
      </c>
      <c r="L725" s="7" t="s">
        <v>52</v>
      </c>
      <c r="M725" s="7">
        <f t="shared" si="52"/>
        <v>1</v>
      </c>
      <c r="N725" s="9" t="s">
        <v>34</v>
      </c>
      <c r="O725" s="7">
        <v>0</v>
      </c>
      <c r="P725" s="9" t="s">
        <v>63</v>
      </c>
      <c r="Q725" s="7" t="s">
        <v>38</v>
      </c>
      <c r="R725" s="7" t="s">
        <v>38</v>
      </c>
      <c r="S725" s="7"/>
      <c r="T725" s="7">
        <v>5</v>
      </c>
      <c r="U725" s="7">
        <v>5</v>
      </c>
      <c r="V725" s="7">
        <v>100</v>
      </c>
      <c r="W725" s="7" t="s">
        <v>83</v>
      </c>
      <c r="X725" s="7">
        <v>5</v>
      </c>
      <c r="Y725" s="7"/>
      <c r="Z725" s="7"/>
      <c r="AA725" s="7"/>
      <c r="AB725" s="7">
        <f t="shared" si="54"/>
        <v>3.3333333333333335</v>
      </c>
      <c r="AC725" s="7">
        <f t="shared" si="53"/>
        <v>3.3333333333333335</v>
      </c>
      <c r="AD725" s="7"/>
      <c r="AE725" s="7"/>
      <c r="AF725" s="7"/>
      <c r="AG725" s="7"/>
      <c r="AH725" s="7"/>
      <c r="AI725" s="7"/>
      <c r="AJ725" s="7"/>
      <c r="AK725" s="7" t="s">
        <v>252</v>
      </c>
      <c r="AL725" s="9"/>
      <c r="AM725" s="7" t="s">
        <v>42</v>
      </c>
      <c r="AN725" s="7" t="s">
        <v>42</v>
      </c>
      <c r="AO725" s="12"/>
    </row>
    <row r="726" spans="1:41" s="11" customFormat="1" ht="24" x14ac:dyDescent="0.25">
      <c r="A726" s="2">
        <v>725</v>
      </c>
      <c r="B726" s="7" t="s">
        <v>579</v>
      </c>
      <c r="C726" s="7" t="s">
        <v>78</v>
      </c>
      <c r="D726" s="7">
        <v>9</v>
      </c>
      <c r="E726" s="7">
        <v>9</v>
      </c>
      <c r="F726" s="8">
        <v>1</v>
      </c>
      <c r="G726" s="8">
        <v>1</v>
      </c>
      <c r="H726" s="7">
        <v>1</v>
      </c>
      <c r="I726" s="7">
        <v>1</v>
      </c>
      <c r="J726" s="9" t="s">
        <v>176</v>
      </c>
      <c r="K726" s="9" t="s">
        <v>633</v>
      </c>
      <c r="L726" s="7" t="s">
        <v>52</v>
      </c>
      <c r="M726" s="7">
        <f t="shared" si="52"/>
        <v>1</v>
      </c>
      <c r="N726" s="9" t="s">
        <v>177</v>
      </c>
      <c r="O726" s="7">
        <v>0</v>
      </c>
      <c r="P726" s="9" t="s">
        <v>63</v>
      </c>
      <c r="Q726" s="9" t="s">
        <v>38</v>
      </c>
      <c r="R726" s="9" t="s">
        <v>38</v>
      </c>
      <c r="S726" s="13" t="s">
        <v>1899</v>
      </c>
      <c r="T726" s="7">
        <v>5</v>
      </c>
      <c r="U726" s="7">
        <v>5</v>
      </c>
      <c r="V726" s="7">
        <v>80</v>
      </c>
      <c r="W726" s="7" t="s">
        <v>88</v>
      </c>
      <c r="X726" s="7">
        <v>5</v>
      </c>
      <c r="Y726" s="7"/>
      <c r="Z726" s="7"/>
      <c r="AA726" s="7"/>
      <c r="AB726" s="7">
        <f t="shared" si="54"/>
        <v>3.3333333333333335</v>
      </c>
      <c r="AC726" s="7">
        <f t="shared" si="53"/>
        <v>3.3333333333333335</v>
      </c>
      <c r="AD726" s="7"/>
      <c r="AE726" s="7">
        <v>1</v>
      </c>
      <c r="AF726" s="7" t="s">
        <v>40</v>
      </c>
      <c r="AG726" s="7"/>
      <c r="AH726" s="7"/>
      <c r="AI726" s="7"/>
      <c r="AJ726" s="7"/>
      <c r="AK726" s="7"/>
      <c r="AL726" s="9"/>
      <c r="AM726" s="7" t="s">
        <v>42</v>
      </c>
      <c r="AN726" s="7" t="s">
        <v>42</v>
      </c>
      <c r="AO726" s="15" t="s">
        <v>2566</v>
      </c>
    </row>
    <row r="727" spans="1:41" s="11" customFormat="1" x14ac:dyDescent="0.25">
      <c r="A727" s="2">
        <v>726</v>
      </c>
      <c r="B727" s="7" t="s">
        <v>579</v>
      </c>
      <c r="C727" s="7" t="s">
        <v>100</v>
      </c>
      <c r="D727" s="7">
        <v>1</v>
      </c>
      <c r="E727" s="7">
        <v>1</v>
      </c>
      <c r="F727" s="8">
        <v>1</v>
      </c>
      <c r="G727" s="8">
        <v>1</v>
      </c>
      <c r="H727" s="7">
        <v>1</v>
      </c>
      <c r="I727" s="7">
        <v>1</v>
      </c>
      <c r="J727" s="9" t="s">
        <v>176</v>
      </c>
      <c r="K727" s="7">
        <v>1</v>
      </c>
      <c r="L727" s="7" t="s">
        <v>52</v>
      </c>
      <c r="M727" s="7">
        <f t="shared" si="52"/>
        <v>1</v>
      </c>
      <c r="N727" s="9"/>
      <c r="O727" s="7"/>
      <c r="P727" s="9"/>
      <c r="Q727" s="7"/>
      <c r="R727" s="7"/>
      <c r="S727" s="7"/>
      <c r="T727" s="7"/>
      <c r="U727" s="7"/>
      <c r="V727" s="7"/>
      <c r="W727" s="7"/>
      <c r="X727" s="7">
        <v>3</v>
      </c>
      <c r="Y727" s="7"/>
      <c r="Z727" s="7"/>
      <c r="AA727" s="7"/>
      <c r="AB727" s="7">
        <f t="shared" si="54"/>
        <v>1</v>
      </c>
      <c r="AC727" s="7">
        <f t="shared" si="53"/>
        <v>1</v>
      </c>
      <c r="AD727" s="7"/>
      <c r="AE727" s="7"/>
      <c r="AF727" s="7"/>
      <c r="AG727" s="7"/>
      <c r="AH727" s="7"/>
      <c r="AI727" s="7"/>
      <c r="AJ727" s="7"/>
      <c r="AK727" s="7"/>
      <c r="AL727" s="9"/>
      <c r="AM727" s="7" t="s">
        <v>71</v>
      </c>
      <c r="AN727" s="7" t="s">
        <v>71</v>
      </c>
      <c r="AO727" s="12"/>
    </row>
    <row r="728" spans="1:41" s="11" customFormat="1" x14ac:dyDescent="0.25">
      <c r="A728" s="2">
        <v>727</v>
      </c>
      <c r="B728" s="7" t="s">
        <v>579</v>
      </c>
      <c r="C728" s="7" t="s">
        <v>89</v>
      </c>
      <c r="D728" s="7" t="s">
        <v>627</v>
      </c>
      <c r="E728" s="7">
        <v>4</v>
      </c>
      <c r="F728" s="8">
        <v>2</v>
      </c>
      <c r="G728" s="8">
        <v>3</v>
      </c>
      <c r="H728" s="7" t="s">
        <v>97</v>
      </c>
      <c r="I728" s="7">
        <v>3</v>
      </c>
      <c r="J728" s="9" t="s">
        <v>176</v>
      </c>
      <c r="K728" s="7">
        <v>10</v>
      </c>
      <c r="L728" s="7" t="s">
        <v>52</v>
      </c>
      <c r="M728" s="7">
        <f t="shared" si="52"/>
        <v>2</v>
      </c>
      <c r="N728" s="9"/>
      <c r="O728" s="7"/>
      <c r="P728" s="9"/>
      <c r="Q728" s="7"/>
      <c r="R728" s="7"/>
      <c r="S728" s="7"/>
      <c r="T728" s="7"/>
      <c r="U728" s="7"/>
      <c r="V728" s="7"/>
      <c r="W728" s="7"/>
      <c r="X728" s="7">
        <v>3</v>
      </c>
      <c r="Y728" s="7"/>
      <c r="Z728" s="7"/>
      <c r="AA728" s="7"/>
      <c r="AB728" s="7">
        <f t="shared" si="54"/>
        <v>1</v>
      </c>
      <c r="AC728" s="7">
        <f t="shared" si="53"/>
        <v>1</v>
      </c>
      <c r="AD728" s="7"/>
      <c r="AE728" s="7"/>
      <c r="AF728" s="7"/>
      <c r="AG728" s="7"/>
      <c r="AH728" s="7"/>
      <c r="AI728" s="7"/>
      <c r="AJ728" s="7"/>
      <c r="AK728" s="7"/>
      <c r="AL728" s="9"/>
      <c r="AM728" s="7" t="s">
        <v>71</v>
      </c>
      <c r="AN728" s="7" t="s">
        <v>71</v>
      </c>
      <c r="AO728" s="12"/>
    </row>
    <row r="729" spans="1:41" s="11" customFormat="1" x14ac:dyDescent="0.25">
      <c r="A729" s="2">
        <v>728</v>
      </c>
      <c r="B729" s="7" t="s">
        <v>579</v>
      </c>
      <c r="C729" s="7" t="s">
        <v>100</v>
      </c>
      <c r="D729" s="7">
        <v>16</v>
      </c>
      <c r="E729" s="7">
        <v>16</v>
      </c>
      <c r="F729" s="8">
        <v>1</v>
      </c>
      <c r="G729" s="8">
        <v>1</v>
      </c>
      <c r="H729" s="7">
        <v>1</v>
      </c>
      <c r="I729" s="7">
        <v>1</v>
      </c>
      <c r="J729" s="9" t="s">
        <v>176</v>
      </c>
      <c r="K729" s="7">
        <v>6</v>
      </c>
      <c r="L729" s="7" t="s">
        <v>52</v>
      </c>
      <c r="M729" s="7">
        <f t="shared" si="52"/>
        <v>1</v>
      </c>
      <c r="N729" s="9" t="s">
        <v>177</v>
      </c>
      <c r="O729" s="7">
        <v>0</v>
      </c>
      <c r="P729" s="9" t="s">
        <v>63</v>
      </c>
      <c r="Q729" s="7" t="s">
        <v>38</v>
      </c>
      <c r="R729" s="7" t="s">
        <v>52</v>
      </c>
      <c r="S729" s="10" t="s">
        <v>1900</v>
      </c>
      <c r="T729" s="7"/>
      <c r="U729" s="7"/>
      <c r="V729" s="7"/>
      <c r="W729" s="7"/>
      <c r="X729" s="7">
        <v>3</v>
      </c>
      <c r="Y729" s="7"/>
      <c r="Z729" s="7"/>
      <c r="AA729" s="7"/>
      <c r="AB729" s="7">
        <f t="shared" si="54"/>
        <v>1</v>
      </c>
      <c r="AC729" s="7">
        <f t="shared" si="53"/>
        <v>1</v>
      </c>
      <c r="AD729" s="7"/>
      <c r="AE729" s="7"/>
      <c r="AF729" s="7"/>
      <c r="AG729" s="7"/>
      <c r="AH729" s="7"/>
      <c r="AI729" s="7" t="s">
        <v>415</v>
      </c>
      <c r="AJ729" s="7"/>
      <c r="AK729" s="7"/>
      <c r="AL729" s="9"/>
      <c r="AM729" s="7" t="s">
        <v>71</v>
      </c>
      <c r="AN729" s="7" t="s">
        <v>71</v>
      </c>
      <c r="AO729" s="12"/>
    </row>
    <row r="730" spans="1:41" s="11" customFormat="1" ht="24" x14ac:dyDescent="0.25">
      <c r="A730" s="2">
        <v>729</v>
      </c>
      <c r="B730" s="7" t="s">
        <v>579</v>
      </c>
      <c r="C730" s="7" t="s">
        <v>50</v>
      </c>
      <c r="D730" s="7">
        <v>13</v>
      </c>
      <c r="E730" s="7">
        <v>13</v>
      </c>
      <c r="F730" s="8">
        <v>1</v>
      </c>
      <c r="G730" s="8">
        <v>1</v>
      </c>
      <c r="H730" s="7">
        <v>1</v>
      </c>
      <c r="I730" s="7">
        <v>1</v>
      </c>
      <c r="J730" s="9" t="s">
        <v>176</v>
      </c>
      <c r="K730" s="7">
        <v>3</v>
      </c>
      <c r="L730" s="7" t="s">
        <v>52</v>
      </c>
      <c r="M730" s="7">
        <f t="shared" si="52"/>
        <v>1</v>
      </c>
      <c r="N730" s="9" t="s">
        <v>177</v>
      </c>
      <c r="O730" s="7">
        <v>0</v>
      </c>
      <c r="P730" s="9" t="s">
        <v>63</v>
      </c>
      <c r="Q730" s="7" t="s">
        <v>38</v>
      </c>
      <c r="R730" s="7" t="s">
        <v>38</v>
      </c>
      <c r="S730" s="10" t="s">
        <v>1901</v>
      </c>
      <c r="T730" s="7"/>
      <c r="U730" s="7"/>
      <c r="V730" s="7"/>
      <c r="W730" s="7"/>
      <c r="X730" s="7"/>
      <c r="Y730" s="7">
        <v>20</v>
      </c>
      <c r="Z730" s="7">
        <v>20</v>
      </c>
      <c r="AA730" s="7">
        <v>60</v>
      </c>
      <c r="AB730" s="7">
        <f t="shared" si="54"/>
        <v>6.666666666666667</v>
      </c>
      <c r="AC730" s="7">
        <f t="shared" si="53"/>
        <v>6.666666666666667</v>
      </c>
      <c r="AD730" s="7"/>
      <c r="AE730" s="7"/>
      <c r="AF730" s="7"/>
      <c r="AG730" s="7"/>
      <c r="AH730" s="7"/>
      <c r="AI730" s="7"/>
      <c r="AJ730" s="7"/>
      <c r="AK730" s="7"/>
      <c r="AL730" s="9"/>
      <c r="AM730" s="7" t="s">
        <v>582</v>
      </c>
      <c r="AN730" s="7" t="s">
        <v>2851</v>
      </c>
      <c r="AO730" s="12"/>
    </row>
    <row r="731" spans="1:41" s="11" customFormat="1" ht="24" x14ac:dyDescent="0.25">
      <c r="A731" s="2">
        <v>730</v>
      </c>
      <c r="B731" s="7" t="s">
        <v>579</v>
      </c>
      <c r="C731" s="7" t="s">
        <v>50</v>
      </c>
      <c r="D731" s="7">
        <v>8</v>
      </c>
      <c r="E731" s="7">
        <v>8</v>
      </c>
      <c r="F731" s="8">
        <v>1</v>
      </c>
      <c r="G731" s="8">
        <v>1</v>
      </c>
      <c r="H731" s="7">
        <v>1</v>
      </c>
      <c r="I731" s="7">
        <v>1</v>
      </c>
      <c r="J731" s="9" t="s">
        <v>176</v>
      </c>
      <c r="K731" s="7">
        <v>3</v>
      </c>
      <c r="L731" s="7" t="s">
        <v>52</v>
      </c>
      <c r="M731" s="7">
        <f t="shared" si="52"/>
        <v>1</v>
      </c>
      <c r="N731" s="9" t="s">
        <v>177</v>
      </c>
      <c r="O731" s="7">
        <v>0</v>
      </c>
      <c r="P731" s="9" t="s">
        <v>63</v>
      </c>
      <c r="Q731" s="7" t="s">
        <v>38</v>
      </c>
      <c r="R731" s="7" t="s">
        <v>38</v>
      </c>
      <c r="S731" s="10" t="s">
        <v>1902</v>
      </c>
      <c r="T731" s="7"/>
      <c r="U731" s="7"/>
      <c r="V731" s="7"/>
      <c r="W731" s="7"/>
      <c r="X731" s="7"/>
      <c r="Y731" s="7">
        <v>20</v>
      </c>
      <c r="Z731" s="7">
        <v>20</v>
      </c>
      <c r="AA731" s="7">
        <v>55</v>
      </c>
      <c r="AB731" s="7">
        <f t="shared" si="54"/>
        <v>6.666666666666667</v>
      </c>
      <c r="AC731" s="7">
        <f t="shared" si="53"/>
        <v>6.666666666666667</v>
      </c>
      <c r="AD731" s="7"/>
      <c r="AE731" s="7"/>
      <c r="AF731" s="7"/>
      <c r="AG731" s="7"/>
      <c r="AH731" s="7"/>
      <c r="AI731" s="7"/>
      <c r="AJ731" s="7"/>
      <c r="AK731" s="7"/>
      <c r="AL731" s="9"/>
      <c r="AM731" s="7" t="s">
        <v>582</v>
      </c>
      <c r="AN731" s="7" t="s">
        <v>2851</v>
      </c>
      <c r="AO731" s="12"/>
    </row>
    <row r="732" spans="1:41" s="11" customFormat="1" x14ac:dyDescent="0.25">
      <c r="A732" s="2">
        <v>731</v>
      </c>
      <c r="B732" s="7" t="s">
        <v>579</v>
      </c>
      <c r="C732" s="7" t="s">
        <v>78</v>
      </c>
      <c r="D732" s="7">
        <v>6</v>
      </c>
      <c r="E732" s="7">
        <v>6</v>
      </c>
      <c r="F732" s="8">
        <v>1</v>
      </c>
      <c r="G732" s="8">
        <v>1</v>
      </c>
      <c r="H732" s="7">
        <v>1</v>
      </c>
      <c r="I732" s="7">
        <v>1</v>
      </c>
      <c r="J732" s="9" t="s">
        <v>176</v>
      </c>
      <c r="K732" s="7">
        <v>3</v>
      </c>
      <c r="L732" s="7" t="s">
        <v>52</v>
      </c>
      <c r="M732" s="7">
        <f t="shared" si="52"/>
        <v>1</v>
      </c>
      <c r="N732" s="9" t="s">
        <v>177</v>
      </c>
      <c r="O732" s="7">
        <v>0</v>
      </c>
      <c r="P732" s="9" t="s">
        <v>63</v>
      </c>
      <c r="Q732" s="7" t="s">
        <v>38</v>
      </c>
      <c r="R732" s="7" t="s">
        <v>38</v>
      </c>
      <c r="S732" s="10" t="s">
        <v>1903</v>
      </c>
      <c r="T732" s="7">
        <v>5</v>
      </c>
      <c r="U732" s="7">
        <v>5</v>
      </c>
      <c r="V732" s="7">
        <v>170</v>
      </c>
      <c r="W732" s="7" t="s">
        <v>79</v>
      </c>
      <c r="X732" s="7"/>
      <c r="Y732" s="7"/>
      <c r="Z732" s="7"/>
      <c r="AA732" s="7"/>
      <c r="AB732" s="7">
        <f t="shared" si="54"/>
        <v>1.6666666666666667</v>
      </c>
      <c r="AC732" s="7">
        <f t="shared" si="53"/>
        <v>1.6666666666666667</v>
      </c>
      <c r="AD732" s="7"/>
      <c r="AE732" s="7"/>
      <c r="AF732" s="7"/>
      <c r="AG732" s="7"/>
      <c r="AH732" s="7"/>
      <c r="AI732" s="7"/>
      <c r="AJ732" s="7"/>
      <c r="AK732" s="7"/>
      <c r="AL732" s="9"/>
      <c r="AM732" s="7" t="s">
        <v>111</v>
      </c>
      <c r="AN732" s="7" t="s">
        <v>2848</v>
      </c>
      <c r="AO732" s="12"/>
    </row>
    <row r="733" spans="1:41" s="11" customFormat="1" x14ac:dyDescent="0.25">
      <c r="A733" s="2">
        <v>732</v>
      </c>
      <c r="B733" s="7" t="s">
        <v>579</v>
      </c>
      <c r="C733" s="7" t="s">
        <v>89</v>
      </c>
      <c r="D733" s="7" t="s">
        <v>634</v>
      </c>
      <c r="E733" s="7">
        <f>33+8+3+3</f>
        <v>47</v>
      </c>
      <c r="F733" s="8">
        <v>7</v>
      </c>
      <c r="G733" s="8">
        <v>7</v>
      </c>
      <c r="H733" s="7" t="s">
        <v>122</v>
      </c>
      <c r="I733" s="7">
        <v>7</v>
      </c>
      <c r="J733" s="9" t="s">
        <v>176</v>
      </c>
      <c r="K733" s="7">
        <v>3</v>
      </c>
      <c r="L733" s="7" t="s">
        <v>52</v>
      </c>
      <c r="M733" s="7">
        <f t="shared" si="52"/>
        <v>7</v>
      </c>
      <c r="N733" s="9"/>
      <c r="O733" s="7"/>
      <c r="P733" s="9"/>
      <c r="Q733" s="7"/>
      <c r="R733" s="7"/>
      <c r="S733" s="7"/>
      <c r="T733" s="7"/>
      <c r="U733" s="7"/>
      <c r="V733" s="7"/>
      <c r="W733" s="7"/>
      <c r="X733" s="7">
        <v>3</v>
      </c>
      <c r="Y733" s="7"/>
      <c r="Z733" s="7"/>
      <c r="AA733" s="7"/>
      <c r="AB733" s="7">
        <f t="shared" si="54"/>
        <v>1</v>
      </c>
      <c r="AC733" s="7">
        <f t="shared" si="53"/>
        <v>1</v>
      </c>
      <c r="AD733" s="7"/>
      <c r="AE733" s="7"/>
      <c r="AF733" s="7"/>
      <c r="AG733" s="7"/>
      <c r="AH733" s="7"/>
      <c r="AI733" s="7"/>
      <c r="AJ733" s="7"/>
      <c r="AK733" s="7"/>
      <c r="AL733" s="9"/>
      <c r="AM733" s="7" t="s">
        <v>71</v>
      </c>
      <c r="AN733" s="7" t="s">
        <v>71</v>
      </c>
      <c r="AO733" s="12"/>
    </row>
    <row r="734" spans="1:41" s="11" customFormat="1" ht="24" x14ac:dyDescent="0.25">
      <c r="A734" s="2">
        <v>733</v>
      </c>
      <c r="B734" s="7" t="s">
        <v>579</v>
      </c>
      <c r="C734" s="7" t="s">
        <v>107</v>
      </c>
      <c r="D734" s="7" t="s">
        <v>635</v>
      </c>
      <c r="E734" s="7">
        <f>297+76+75+69+65+47+46+37</f>
        <v>712</v>
      </c>
      <c r="F734" s="8">
        <v>1</v>
      </c>
      <c r="G734" s="8">
        <v>8</v>
      </c>
      <c r="H734" s="7">
        <v>8</v>
      </c>
      <c r="I734" s="7">
        <v>8</v>
      </c>
      <c r="J734" s="9" t="s">
        <v>219</v>
      </c>
      <c r="K734" s="7">
        <v>13</v>
      </c>
      <c r="L734" s="7" t="s">
        <v>52</v>
      </c>
      <c r="M734" s="7">
        <f t="shared" si="52"/>
        <v>1</v>
      </c>
      <c r="N734" s="9" t="s">
        <v>34</v>
      </c>
      <c r="O734" s="7">
        <v>0</v>
      </c>
      <c r="P734" s="9" t="s">
        <v>37</v>
      </c>
      <c r="Q734" s="7" t="s">
        <v>38</v>
      </c>
      <c r="R734" s="7" t="s">
        <v>38</v>
      </c>
      <c r="S734" s="10" t="s">
        <v>1904</v>
      </c>
      <c r="T734" s="7"/>
      <c r="U734" s="7"/>
      <c r="V734" s="7"/>
      <c r="W734" s="7"/>
      <c r="X734" s="7">
        <v>3</v>
      </c>
      <c r="Y734" s="7">
        <v>30</v>
      </c>
      <c r="Z734" s="7">
        <v>30</v>
      </c>
      <c r="AA734" s="7">
        <v>170</v>
      </c>
      <c r="AB734" s="7">
        <f t="shared" si="54"/>
        <v>11</v>
      </c>
      <c r="AC734" s="7">
        <f t="shared" si="53"/>
        <v>11</v>
      </c>
      <c r="AD734" s="7"/>
      <c r="AE734" s="7"/>
      <c r="AF734" s="7"/>
      <c r="AG734" s="7"/>
      <c r="AH734" s="7"/>
      <c r="AI734" s="7"/>
      <c r="AJ734" s="7"/>
      <c r="AK734" s="7"/>
      <c r="AL734" s="9"/>
      <c r="AM734" s="7" t="s">
        <v>636</v>
      </c>
      <c r="AN734" s="7" t="s">
        <v>662</v>
      </c>
      <c r="AO734" s="12"/>
    </row>
    <row r="735" spans="1:41" s="11" customFormat="1" ht="24" x14ac:dyDescent="0.25">
      <c r="A735" s="2">
        <v>734</v>
      </c>
      <c r="B735" s="7" t="s">
        <v>579</v>
      </c>
      <c r="C735" s="7" t="s">
        <v>89</v>
      </c>
      <c r="D735" s="16">
        <v>139129</v>
      </c>
      <c r="E735" s="16">
        <f>139+129</f>
        <v>268</v>
      </c>
      <c r="F735" s="8">
        <v>1</v>
      </c>
      <c r="G735" s="8">
        <v>2</v>
      </c>
      <c r="H735" s="7">
        <v>2</v>
      </c>
      <c r="I735" s="7">
        <v>2</v>
      </c>
      <c r="J735" s="9" t="s">
        <v>219</v>
      </c>
      <c r="K735" s="7">
        <v>13</v>
      </c>
      <c r="L735" s="7" t="s">
        <v>52</v>
      </c>
      <c r="M735" s="7">
        <f t="shared" si="52"/>
        <v>1</v>
      </c>
      <c r="N735" s="9" t="s">
        <v>34</v>
      </c>
      <c r="O735" s="7">
        <v>0</v>
      </c>
      <c r="P735" s="9" t="s">
        <v>34</v>
      </c>
      <c r="Q735" s="7" t="s">
        <v>38</v>
      </c>
      <c r="R735" s="7" t="s">
        <v>38</v>
      </c>
      <c r="S735" s="10" t="s">
        <v>1905</v>
      </c>
      <c r="T735" s="7"/>
      <c r="U735" s="7"/>
      <c r="V735" s="7"/>
      <c r="W735" s="7"/>
      <c r="X735" s="7">
        <v>10</v>
      </c>
      <c r="Y735" s="7"/>
      <c r="Z735" s="7"/>
      <c r="AA735" s="7"/>
      <c r="AB735" s="7">
        <f t="shared" si="54"/>
        <v>3.3333333333333335</v>
      </c>
      <c r="AC735" s="7">
        <f t="shared" si="53"/>
        <v>3.3333333333333335</v>
      </c>
      <c r="AD735" s="7"/>
      <c r="AE735" s="7"/>
      <c r="AF735" s="7"/>
      <c r="AG735" s="7"/>
      <c r="AH735" s="7"/>
      <c r="AI735" s="7"/>
      <c r="AJ735" s="7"/>
      <c r="AK735" s="7"/>
      <c r="AL735" s="9"/>
      <c r="AM735" s="7" t="s">
        <v>637</v>
      </c>
      <c r="AN735" s="7" t="s">
        <v>2847</v>
      </c>
      <c r="AO735" s="12"/>
    </row>
    <row r="736" spans="1:41" s="11" customFormat="1" x14ac:dyDescent="0.25">
      <c r="A736" s="2">
        <v>735</v>
      </c>
      <c r="B736" s="7" t="s">
        <v>579</v>
      </c>
      <c r="C736" s="7" t="s">
        <v>50</v>
      </c>
      <c r="D736" s="7">
        <v>52</v>
      </c>
      <c r="E736" s="7">
        <v>52</v>
      </c>
      <c r="F736" s="8">
        <v>1</v>
      </c>
      <c r="G736" s="8">
        <v>1</v>
      </c>
      <c r="H736" s="7">
        <v>1</v>
      </c>
      <c r="I736" s="7">
        <v>1</v>
      </c>
      <c r="J736" s="9" t="s">
        <v>219</v>
      </c>
      <c r="K736" s="7">
        <v>1</v>
      </c>
      <c r="L736" s="7" t="s">
        <v>52</v>
      </c>
      <c r="M736" s="7">
        <f t="shared" si="52"/>
        <v>1</v>
      </c>
      <c r="N736" s="9" t="s">
        <v>34</v>
      </c>
      <c r="O736" s="7">
        <v>0</v>
      </c>
      <c r="P736" s="9" t="s">
        <v>33</v>
      </c>
      <c r="Q736" s="7" t="s">
        <v>38</v>
      </c>
      <c r="R736" s="7" t="s">
        <v>38</v>
      </c>
      <c r="S736" s="10" t="s">
        <v>1906</v>
      </c>
      <c r="T736" s="7"/>
      <c r="U736" s="7"/>
      <c r="V736" s="7"/>
      <c r="W736" s="7"/>
      <c r="X736" s="7"/>
      <c r="Y736" s="7">
        <v>7</v>
      </c>
      <c r="Z736" s="7">
        <v>7</v>
      </c>
      <c r="AA736" s="7">
        <v>200</v>
      </c>
      <c r="AB736" s="7">
        <f t="shared" si="54"/>
        <v>2.3333333333333335</v>
      </c>
      <c r="AC736" s="7">
        <f t="shared" si="53"/>
        <v>2.3333333333333335</v>
      </c>
      <c r="AD736" s="7"/>
      <c r="AE736" s="7"/>
      <c r="AF736" s="7"/>
      <c r="AG736" s="7"/>
      <c r="AH736" s="7"/>
      <c r="AI736" s="7"/>
      <c r="AJ736" s="7"/>
      <c r="AK736" s="7"/>
      <c r="AL736" s="9"/>
      <c r="AM736" s="7" t="s">
        <v>71</v>
      </c>
      <c r="AN736" s="7" t="s">
        <v>71</v>
      </c>
      <c r="AO736" s="12"/>
    </row>
    <row r="737" spans="1:41" s="11" customFormat="1" x14ac:dyDescent="0.25">
      <c r="A737" s="2">
        <v>736</v>
      </c>
      <c r="B737" s="7" t="s">
        <v>579</v>
      </c>
      <c r="C737" s="7" t="s">
        <v>100</v>
      </c>
      <c r="D737" s="7">
        <v>38</v>
      </c>
      <c r="E737" s="7">
        <v>38</v>
      </c>
      <c r="F737" s="8">
        <v>1</v>
      </c>
      <c r="G737" s="8">
        <v>1</v>
      </c>
      <c r="H737" s="7">
        <v>1</v>
      </c>
      <c r="I737" s="7">
        <v>1</v>
      </c>
      <c r="J737" s="9" t="s">
        <v>219</v>
      </c>
      <c r="K737" s="7">
        <v>1</v>
      </c>
      <c r="L737" s="7" t="s">
        <v>52</v>
      </c>
      <c r="M737" s="7">
        <f t="shared" si="52"/>
        <v>1</v>
      </c>
      <c r="N737" s="9"/>
      <c r="O737" s="7"/>
      <c r="P737" s="9"/>
      <c r="Q737" s="7"/>
      <c r="R737" s="7"/>
      <c r="S737" s="7"/>
      <c r="T737" s="7"/>
      <c r="U737" s="7"/>
      <c r="V737" s="7"/>
      <c r="W737" s="7"/>
      <c r="X737" s="7">
        <v>3</v>
      </c>
      <c r="Y737" s="7"/>
      <c r="Z737" s="7"/>
      <c r="AA737" s="7"/>
      <c r="AB737" s="7">
        <f t="shared" si="54"/>
        <v>1</v>
      </c>
      <c r="AC737" s="7">
        <f t="shared" si="53"/>
        <v>1</v>
      </c>
      <c r="AD737" s="7"/>
      <c r="AE737" s="7"/>
      <c r="AF737" s="7"/>
      <c r="AG737" s="7"/>
      <c r="AH737" s="7"/>
      <c r="AI737" s="7"/>
      <c r="AJ737" s="7"/>
      <c r="AK737" s="7"/>
      <c r="AL737" s="9"/>
      <c r="AM737" s="7" t="s">
        <v>71</v>
      </c>
      <c r="AN737" s="7" t="s">
        <v>71</v>
      </c>
      <c r="AO737" s="12"/>
    </row>
    <row r="738" spans="1:41" s="11" customFormat="1" x14ac:dyDescent="0.25">
      <c r="A738" s="2">
        <v>737</v>
      </c>
      <c r="B738" s="7" t="s">
        <v>579</v>
      </c>
      <c r="C738" s="7" t="s">
        <v>100</v>
      </c>
      <c r="D738" s="7">
        <v>14</v>
      </c>
      <c r="E738" s="7">
        <v>14</v>
      </c>
      <c r="F738" s="8">
        <v>1</v>
      </c>
      <c r="G738" s="8">
        <v>1</v>
      </c>
      <c r="H738" s="7">
        <v>1</v>
      </c>
      <c r="I738" s="7">
        <v>1</v>
      </c>
      <c r="J738" s="9" t="s">
        <v>353</v>
      </c>
      <c r="K738" s="7"/>
      <c r="L738" s="7" t="s">
        <v>38</v>
      </c>
      <c r="M738" s="7">
        <f t="shared" si="52"/>
        <v>0</v>
      </c>
      <c r="N738" s="9" t="s">
        <v>36</v>
      </c>
      <c r="O738" s="7"/>
      <c r="P738" s="9" t="s">
        <v>63</v>
      </c>
      <c r="Q738" s="7" t="s">
        <v>52</v>
      </c>
      <c r="R738" s="7" t="s">
        <v>38</v>
      </c>
      <c r="S738" s="10" t="s">
        <v>1907</v>
      </c>
      <c r="T738" s="7"/>
      <c r="U738" s="7"/>
      <c r="V738" s="7"/>
      <c r="W738" s="7"/>
      <c r="X738" s="7">
        <v>3</v>
      </c>
      <c r="Y738" s="7"/>
      <c r="Z738" s="7"/>
      <c r="AA738" s="7"/>
      <c r="AB738" s="7">
        <f t="shared" si="54"/>
        <v>1</v>
      </c>
      <c r="AC738" s="7">
        <f t="shared" si="53"/>
        <v>0</v>
      </c>
      <c r="AD738" s="7"/>
      <c r="AE738" s="7"/>
      <c r="AF738" s="7"/>
      <c r="AG738" s="7"/>
      <c r="AH738" s="7"/>
      <c r="AI738" s="7"/>
      <c r="AJ738" s="7"/>
      <c r="AK738" s="7"/>
      <c r="AL738" s="9"/>
      <c r="AM738" s="7" t="s">
        <v>71</v>
      </c>
      <c r="AN738" s="7" t="s">
        <v>71</v>
      </c>
      <c r="AO738" s="12"/>
    </row>
    <row r="739" spans="1:41" s="11" customFormat="1" x14ac:dyDescent="0.25">
      <c r="A739" s="2">
        <v>738</v>
      </c>
      <c r="B739" s="7" t="s">
        <v>579</v>
      </c>
      <c r="C739" s="7" t="s">
        <v>100</v>
      </c>
      <c r="D739" s="7">
        <v>27</v>
      </c>
      <c r="E739" s="7">
        <v>27</v>
      </c>
      <c r="F739" s="8">
        <v>1</v>
      </c>
      <c r="G739" s="8">
        <v>1</v>
      </c>
      <c r="H739" s="7">
        <v>1</v>
      </c>
      <c r="I739" s="7">
        <v>1</v>
      </c>
      <c r="J739" s="9" t="s">
        <v>219</v>
      </c>
      <c r="K739" s="7">
        <v>1</v>
      </c>
      <c r="L739" s="7" t="s">
        <v>52</v>
      </c>
      <c r="M739" s="7">
        <f t="shared" si="52"/>
        <v>1</v>
      </c>
      <c r="N739" s="9" t="s">
        <v>37</v>
      </c>
      <c r="O739" s="7">
        <v>0</v>
      </c>
      <c r="P739" s="9" t="s">
        <v>33</v>
      </c>
      <c r="Q739" s="7" t="s">
        <v>52</v>
      </c>
      <c r="R739" s="7" t="s">
        <v>38</v>
      </c>
      <c r="S739" s="10" t="s">
        <v>1908</v>
      </c>
      <c r="T739" s="7"/>
      <c r="U739" s="7"/>
      <c r="V739" s="7"/>
      <c r="W739" s="7"/>
      <c r="X739" s="7">
        <v>3</v>
      </c>
      <c r="Y739" s="7"/>
      <c r="Z739" s="7"/>
      <c r="AA739" s="7"/>
      <c r="AB739" s="7">
        <f t="shared" si="54"/>
        <v>1</v>
      </c>
      <c r="AC739" s="7">
        <f t="shared" si="53"/>
        <v>1</v>
      </c>
      <c r="AD739" s="7"/>
      <c r="AE739" s="7"/>
      <c r="AF739" s="7"/>
      <c r="AG739" s="7"/>
      <c r="AH739" s="7"/>
      <c r="AI739" s="7"/>
      <c r="AJ739" s="7" t="s">
        <v>2359</v>
      </c>
      <c r="AK739" s="7"/>
      <c r="AL739" s="9"/>
      <c r="AM739" s="7" t="s">
        <v>71</v>
      </c>
      <c r="AN739" s="7" t="s">
        <v>71</v>
      </c>
      <c r="AO739" s="12"/>
    </row>
    <row r="740" spans="1:41" s="11" customFormat="1" x14ac:dyDescent="0.25">
      <c r="A740" s="2">
        <v>739</v>
      </c>
      <c r="B740" s="7" t="s">
        <v>579</v>
      </c>
      <c r="C740" s="7" t="s">
        <v>89</v>
      </c>
      <c r="D740" s="7">
        <v>10</v>
      </c>
      <c r="E740" s="7">
        <v>10</v>
      </c>
      <c r="F740" s="8">
        <v>1</v>
      </c>
      <c r="G740" s="8">
        <v>2</v>
      </c>
      <c r="H740" s="7">
        <v>2</v>
      </c>
      <c r="I740" s="7">
        <v>2</v>
      </c>
      <c r="J740" s="9" t="s">
        <v>219</v>
      </c>
      <c r="K740" s="7">
        <v>1</v>
      </c>
      <c r="L740" s="7" t="s">
        <v>52</v>
      </c>
      <c r="M740" s="7">
        <f t="shared" si="52"/>
        <v>1</v>
      </c>
      <c r="N740" s="9" t="s">
        <v>34</v>
      </c>
      <c r="O740" s="7">
        <v>0</v>
      </c>
      <c r="P740" s="9" t="s">
        <v>33</v>
      </c>
      <c r="Q740" s="7" t="s">
        <v>52</v>
      </c>
      <c r="R740" s="7" t="s">
        <v>38</v>
      </c>
      <c r="S740" s="10" t="s">
        <v>1909</v>
      </c>
      <c r="T740" s="7"/>
      <c r="U740" s="7"/>
      <c r="V740" s="7"/>
      <c r="W740" s="7"/>
      <c r="X740" s="7">
        <v>3</v>
      </c>
      <c r="Y740" s="7"/>
      <c r="Z740" s="7"/>
      <c r="AA740" s="7"/>
      <c r="AB740" s="7">
        <f t="shared" si="54"/>
        <v>1</v>
      </c>
      <c r="AC740" s="7">
        <f t="shared" si="53"/>
        <v>1</v>
      </c>
      <c r="AD740" s="7"/>
      <c r="AE740" s="7"/>
      <c r="AF740" s="7"/>
      <c r="AG740" s="7"/>
      <c r="AH740" s="7"/>
      <c r="AI740" s="7"/>
      <c r="AJ740" s="7" t="s">
        <v>2359</v>
      </c>
      <c r="AK740" s="7"/>
      <c r="AL740" s="9"/>
      <c r="AM740" s="7" t="s">
        <v>71</v>
      </c>
      <c r="AN740" s="7" t="s">
        <v>71</v>
      </c>
      <c r="AO740" s="12"/>
    </row>
    <row r="741" spans="1:41" s="11" customFormat="1" x14ac:dyDescent="0.25">
      <c r="A741" s="2">
        <v>740</v>
      </c>
      <c r="B741" s="7" t="s">
        <v>579</v>
      </c>
      <c r="C741" s="7" t="s">
        <v>89</v>
      </c>
      <c r="D741" s="7" t="s">
        <v>638</v>
      </c>
      <c r="E741" s="7">
        <f>91+38+8</f>
        <v>137</v>
      </c>
      <c r="F741" s="8">
        <v>1</v>
      </c>
      <c r="G741" s="8">
        <v>3</v>
      </c>
      <c r="H741" s="7">
        <v>3</v>
      </c>
      <c r="I741" s="7">
        <v>3</v>
      </c>
      <c r="J741" s="9" t="s">
        <v>353</v>
      </c>
      <c r="K741" s="7"/>
      <c r="L741" s="7" t="s">
        <v>38</v>
      </c>
      <c r="M741" s="7">
        <f t="shared" si="52"/>
        <v>0</v>
      </c>
      <c r="N741" s="9"/>
      <c r="O741" s="7"/>
      <c r="P741" s="9"/>
      <c r="Q741" s="7"/>
      <c r="R741" s="7"/>
      <c r="S741" s="7"/>
      <c r="T741" s="7"/>
      <c r="U741" s="7"/>
      <c r="V741" s="7"/>
      <c r="W741" s="7"/>
      <c r="X741" s="7">
        <v>3</v>
      </c>
      <c r="Y741" s="7"/>
      <c r="Z741" s="7"/>
      <c r="AA741" s="7"/>
      <c r="AB741" s="7">
        <f t="shared" si="54"/>
        <v>1</v>
      </c>
      <c r="AC741" s="7">
        <f t="shared" si="53"/>
        <v>0</v>
      </c>
      <c r="AD741" s="7"/>
      <c r="AE741" s="7"/>
      <c r="AF741" s="7"/>
      <c r="AG741" s="7"/>
      <c r="AH741" s="7"/>
      <c r="AI741" s="7"/>
      <c r="AJ741" s="7"/>
      <c r="AK741" s="7"/>
      <c r="AL741" s="9"/>
      <c r="AM741" s="7" t="s">
        <v>71</v>
      </c>
      <c r="AN741" s="7" t="s">
        <v>71</v>
      </c>
      <c r="AO741" s="12"/>
    </row>
    <row r="742" spans="1:41" s="11" customFormat="1" ht="24" x14ac:dyDescent="0.25">
      <c r="A742" s="2">
        <v>741</v>
      </c>
      <c r="B742" s="7" t="s">
        <v>579</v>
      </c>
      <c r="C742" s="7" t="s">
        <v>577</v>
      </c>
      <c r="D742" s="7">
        <v>188</v>
      </c>
      <c r="E742" s="7">
        <v>188</v>
      </c>
      <c r="F742" s="8">
        <v>21</v>
      </c>
      <c r="G742" s="8">
        <v>21</v>
      </c>
      <c r="H742" s="7" t="s">
        <v>316</v>
      </c>
      <c r="I742" s="7">
        <v>21</v>
      </c>
      <c r="J742" s="9" t="s">
        <v>639</v>
      </c>
      <c r="K742" s="7"/>
      <c r="L742" s="7" t="s">
        <v>38</v>
      </c>
      <c r="M742" s="7">
        <f t="shared" si="52"/>
        <v>0</v>
      </c>
      <c r="N742" s="9"/>
      <c r="O742" s="7"/>
      <c r="P742" s="9"/>
      <c r="Q742" s="7"/>
      <c r="R742" s="7"/>
      <c r="S742" s="7"/>
      <c r="T742" s="7"/>
      <c r="U742" s="7"/>
      <c r="V742" s="7"/>
      <c r="W742" s="7"/>
      <c r="X742" s="7"/>
      <c r="Y742" s="7"/>
      <c r="Z742" s="7"/>
      <c r="AA742" s="7"/>
      <c r="AB742" s="7">
        <v>0.33333333333333298</v>
      </c>
      <c r="AC742" s="7">
        <f t="shared" si="53"/>
        <v>0</v>
      </c>
      <c r="AD742" s="7"/>
      <c r="AE742" s="7"/>
      <c r="AF742" s="7"/>
      <c r="AG742" s="7"/>
      <c r="AH742" s="7"/>
      <c r="AI742" s="7"/>
      <c r="AJ742" s="7"/>
      <c r="AK742" s="7"/>
      <c r="AL742" s="9"/>
      <c r="AM742" s="7"/>
      <c r="AN742" s="7"/>
      <c r="AO742" s="15" t="s">
        <v>2567</v>
      </c>
    </row>
    <row r="743" spans="1:41" s="11" customFormat="1" ht="24" x14ac:dyDescent="0.25">
      <c r="A743" s="2">
        <v>742</v>
      </c>
      <c r="B743" s="7" t="s">
        <v>579</v>
      </c>
      <c r="C743" s="7" t="s">
        <v>78</v>
      </c>
      <c r="D743" s="7" t="s">
        <v>640</v>
      </c>
      <c r="E743" s="7">
        <f>9+8+5</f>
        <v>22</v>
      </c>
      <c r="F743" s="8">
        <v>1</v>
      </c>
      <c r="G743" s="8">
        <v>3</v>
      </c>
      <c r="H743" s="7" t="s">
        <v>293</v>
      </c>
      <c r="I743" s="7">
        <v>3</v>
      </c>
      <c r="J743" s="9" t="s">
        <v>35</v>
      </c>
      <c r="K743" s="7">
        <v>1</v>
      </c>
      <c r="L743" s="7" t="s">
        <v>52</v>
      </c>
      <c r="M743" s="7">
        <f t="shared" si="52"/>
        <v>1</v>
      </c>
      <c r="N743" s="9" t="s">
        <v>34</v>
      </c>
      <c r="O743" s="7">
        <v>0</v>
      </c>
      <c r="P743" s="9" t="s">
        <v>63</v>
      </c>
      <c r="Q743" s="7" t="s">
        <v>38</v>
      </c>
      <c r="R743" s="7" t="s">
        <v>38</v>
      </c>
      <c r="S743" s="10" t="s">
        <v>1740</v>
      </c>
      <c r="T743" s="7">
        <v>25</v>
      </c>
      <c r="U743" s="7">
        <v>25</v>
      </c>
      <c r="V743" s="7">
        <v>90</v>
      </c>
      <c r="W743" s="7" t="s">
        <v>328</v>
      </c>
      <c r="X743" s="7">
        <v>3</v>
      </c>
      <c r="Y743" s="7"/>
      <c r="Z743" s="7"/>
      <c r="AA743" s="7"/>
      <c r="AB743" s="7">
        <f>(U743+X743+Z743)/3</f>
        <v>9.3333333333333339</v>
      </c>
      <c r="AC743" s="7">
        <f t="shared" si="53"/>
        <v>9.3333333333333339</v>
      </c>
      <c r="AD743" s="7"/>
      <c r="AE743" s="7"/>
      <c r="AF743" s="7"/>
      <c r="AG743" s="7"/>
      <c r="AH743" s="7"/>
      <c r="AI743" s="7"/>
      <c r="AJ743" s="7"/>
      <c r="AK743" s="10" t="s">
        <v>2454</v>
      </c>
      <c r="AL743" s="9"/>
      <c r="AM743" s="7" t="s">
        <v>641</v>
      </c>
      <c r="AN743" s="7" t="s">
        <v>2851</v>
      </c>
      <c r="AO743" s="12"/>
    </row>
    <row r="744" spans="1:41" s="11" customFormat="1" x14ac:dyDescent="0.25">
      <c r="A744" s="2">
        <v>743</v>
      </c>
      <c r="B744" s="7" t="s">
        <v>579</v>
      </c>
      <c r="C744" s="7" t="s">
        <v>100</v>
      </c>
      <c r="D744" s="7">
        <v>4</v>
      </c>
      <c r="E744" s="7">
        <v>4</v>
      </c>
      <c r="F744" s="8">
        <v>1</v>
      </c>
      <c r="G744" s="8">
        <v>1</v>
      </c>
      <c r="H744" s="7">
        <v>1</v>
      </c>
      <c r="I744" s="7">
        <v>1</v>
      </c>
      <c r="J744" s="9" t="s">
        <v>35</v>
      </c>
      <c r="K744" s="7">
        <v>2</v>
      </c>
      <c r="L744" s="7" t="s">
        <v>52</v>
      </c>
      <c r="M744" s="7">
        <f t="shared" si="52"/>
        <v>1</v>
      </c>
      <c r="N744" s="9"/>
      <c r="O744" s="7"/>
      <c r="P744" s="9"/>
      <c r="Q744" s="7"/>
      <c r="R744" s="7"/>
      <c r="S744" s="7"/>
      <c r="T744" s="7"/>
      <c r="U744" s="7"/>
      <c r="V744" s="7"/>
      <c r="W744" s="7"/>
      <c r="X744" s="7">
        <v>3</v>
      </c>
      <c r="Y744" s="7"/>
      <c r="Z744" s="7"/>
      <c r="AA744" s="7"/>
      <c r="AB744" s="7">
        <f>(U744+X744+Z744)/3</f>
        <v>1</v>
      </c>
      <c r="AC744" s="7">
        <f t="shared" si="53"/>
        <v>1</v>
      </c>
      <c r="AD744" s="7"/>
      <c r="AE744" s="7"/>
      <c r="AF744" s="7"/>
      <c r="AG744" s="7"/>
      <c r="AH744" s="7"/>
      <c r="AI744" s="7"/>
      <c r="AJ744" s="7"/>
      <c r="AK744" s="7"/>
      <c r="AL744" s="9"/>
      <c r="AM744" s="7" t="s">
        <v>71</v>
      </c>
      <c r="AN744" s="7" t="s">
        <v>71</v>
      </c>
      <c r="AO744" s="12"/>
    </row>
    <row r="745" spans="1:41" s="11" customFormat="1" x14ac:dyDescent="0.25">
      <c r="A745" s="2">
        <v>744</v>
      </c>
      <c r="B745" s="7" t="s">
        <v>579</v>
      </c>
      <c r="C745" s="7" t="s">
        <v>89</v>
      </c>
      <c r="D745" s="7" t="s">
        <v>98</v>
      </c>
      <c r="E745" s="7">
        <v>6</v>
      </c>
      <c r="F745" s="8">
        <v>3</v>
      </c>
      <c r="G745" s="8">
        <v>1</v>
      </c>
      <c r="H745" s="7">
        <v>1</v>
      </c>
      <c r="I745" s="7">
        <v>1</v>
      </c>
      <c r="J745" s="9" t="s">
        <v>70</v>
      </c>
      <c r="K745" s="7">
        <v>1</v>
      </c>
      <c r="L745" s="7" t="s">
        <v>52</v>
      </c>
      <c r="M745" s="7">
        <f t="shared" si="52"/>
        <v>3</v>
      </c>
      <c r="N745" s="9"/>
      <c r="O745" s="7"/>
      <c r="P745" s="9"/>
      <c r="Q745" s="7"/>
      <c r="R745" s="7"/>
      <c r="S745" s="7"/>
      <c r="T745" s="7"/>
      <c r="U745" s="7"/>
      <c r="V745" s="7"/>
      <c r="W745" s="7"/>
      <c r="X745" s="7">
        <v>3</v>
      </c>
      <c r="Y745" s="7"/>
      <c r="Z745" s="7"/>
      <c r="AA745" s="7"/>
      <c r="AB745" s="7">
        <f>(U745+X745+Z745)/3</f>
        <v>1</v>
      </c>
      <c r="AC745" s="7">
        <f t="shared" si="53"/>
        <v>1</v>
      </c>
      <c r="AD745" s="7"/>
      <c r="AE745" s="7"/>
      <c r="AF745" s="7"/>
      <c r="AG745" s="7"/>
      <c r="AH745" s="7"/>
      <c r="AI745" s="7"/>
      <c r="AJ745" s="7"/>
      <c r="AK745" s="7"/>
      <c r="AL745" s="9"/>
      <c r="AM745" s="7" t="s">
        <v>71</v>
      </c>
      <c r="AN745" s="7" t="s">
        <v>71</v>
      </c>
      <c r="AO745" s="12"/>
    </row>
    <row r="746" spans="1:41" s="11" customFormat="1" x14ac:dyDescent="0.25">
      <c r="A746" s="2">
        <v>745</v>
      </c>
      <c r="B746" s="7" t="s">
        <v>579</v>
      </c>
      <c r="C746" s="7" t="s">
        <v>78</v>
      </c>
      <c r="D746" s="7">
        <v>6</v>
      </c>
      <c r="E746" s="7">
        <v>6</v>
      </c>
      <c r="F746" s="8">
        <v>1</v>
      </c>
      <c r="G746" s="8">
        <v>1</v>
      </c>
      <c r="H746" s="7">
        <v>1</v>
      </c>
      <c r="I746" s="7">
        <v>1</v>
      </c>
      <c r="J746" s="9" t="s">
        <v>77</v>
      </c>
      <c r="K746" s="7">
        <v>1</v>
      </c>
      <c r="L746" s="7" t="s">
        <v>38</v>
      </c>
      <c r="M746" s="7">
        <f t="shared" si="52"/>
        <v>0</v>
      </c>
      <c r="N746" s="9" t="s">
        <v>36</v>
      </c>
      <c r="O746" s="7">
        <v>0</v>
      </c>
      <c r="P746" s="9" t="s">
        <v>34</v>
      </c>
      <c r="Q746" s="7" t="s">
        <v>38</v>
      </c>
      <c r="R746" s="7" t="s">
        <v>38</v>
      </c>
      <c r="S746" s="7"/>
      <c r="T746" s="7">
        <v>12</v>
      </c>
      <c r="U746" s="7">
        <v>12</v>
      </c>
      <c r="V746" s="7">
        <v>90</v>
      </c>
      <c r="W746" s="7" t="s">
        <v>88</v>
      </c>
      <c r="X746" s="7"/>
      <c r="Y746" s="7"/>
      <c r="Z746" s="7"/>
      <c r="AA746" s="7"/>
      <c r="AB746" s="7">
        <f>(U746+X746+Z746)/3</f>
        <v>4</v>
      </c>
      <c r="AC746" s="7">
        <f t="shared" si="53"/>
        <v>0</v>
      </c>
      <c r="AD746" s="7"/>
      <c r="AE746" s="7"/>
      <c r="AF746" s="7"/>
      <c r="AG746" s="7"/>
      <c r="AH746" s="7"/>
      <c r="AI746" s="7"/>
      <c r="AJ746" s="7"/>
      <c r="AK746" s="7"/>
      <c r="AL746" s="9"/>
      <c r="AM746" s="7" t="s">
        <v>42</v>
      </c>
      <c r="AN746" s="7" t="s">
        <v>42</v>
      </c>
      <c r="AO746" s="10" t="s">
        <v>2535</v>
      </c>
    </row>
    <row r="747" spans="1:41" s="11" customFormat="1" x14ac:dyDescent="0.25">
      <c r="A747" s="2">
        <v>746</v>
      </c>
      <c r="B747" s="7" t="s">
        <v>579</v>
      </c>
      <c r="C747" s="7" t="s">
        <v>78</v>
      </c>
      <c r="D747" s="7">
        <v>3</v>
      </c>
      <c r="E747" s="7">
        <v>3</v>
      </c>
      <c r="F747" s="8">
        <v>1</v>
      </c>
      <c r="G747" s="8">
        <v>1</v>
      </c>
      <c r="H747" s="7">
        <v>1</v>
      </c>
      <c r="I747" s="7">
        <v>1</v>
      </c>
      <c r="J747" s="9" t="s">
        <v>70</v>
      </c>
      <c r="K747" s="7">
        <v>1</v>
      </c>
      <c r="L747" s="7" t="s">
        <v>52</v>
      </c>
      <c r="M747" s="7">
        <f t="shared" si="52"/>
        <v>1</v>
      </c>
      <c r="N747" s="9" t="s">
        <v>36</v>
      </c>
      <c r="O747" s="7">
        <v>0</v>
      </c>
      <c r="P747" s="9" t="s">
        <v>63</v>
      </c>
      <c r="Q747" s="7" t="s">
        <v>38</v>
      </c>
      <c r="R747" s="7" t="s">
        <v>38</v>
      </c>
      <c r="S747" s="7"/>
      <c r="T747" s="7" t="s">
        <v>92</v>
      </c>
      <c r="U747" s="7">
        <v>3</v>
      </c>
      <c r="V747" s="7" t="s">
        <v>199</v>
      </c>
      <c r="W747" s="7" t="s">
        <v>88</v>
      </c>
      <c r="X747" s="7"/>
      <c r="Y747" s="7"/>
      <c r="Z747" s="7"/>
      <c r="AA747" s="7"/>
      <c r="AB747" s="7">
        <f>(U747+X747+Z747)/3</f>
        <v>1</v>
      </c>
      <c r="AC747" s="7">
        <f t="shared" si="53"/>
        <v>1</v>
      </c>
      <c r="AD747" s="7"/>
      <c r="AE747" s="7"/>
      <c r="AF747" s="7"/>
      <c r="AG747" s="7"/>
      <c r="AH747" s="7"/>
      <c r="AI747" s="7"/>
      <c r="AJ747" s="7"/>
      <c r="AK747" s="7"/>
      <c r="AL747" s="9"/>
      <c r="AM747" s="7" t="s">
        <v>42</v>
      </c>
      <c r="AN747" s="7" t="s">
        <v>42</v>
      </c>
      <c r="AO747" s="12"/>
    </row>
    <row r="748" spans="1:41" s="11" customFormat="1" x14ac:dyDescent="0.25">
      <c r="A748" s="2">
        <v>747</v>
      </c>
      <c r="B748" s="7" t="s">
        <v>579</v>
      </c>
      <c r="C748" s="7" t="s">
        <v>119</v>
      </c>
      <c r="D748" s="7">
        <v>3</v>
      </c>
      <c r="E748" s="7">
        <v>3</v>
      </c>
      <c r="F748" s="8">
        <v>1</v>
      </c>
      <c r="G748" s="8">
        <v>1</v>
      </c>
      <c r="H748" s="7">
        <v>1</v>
      </c>
      <c r="I748" s="7">
        <v>1</v>
      </c>
      <c r="J748" s="9" t="s">
        <v>77</v>
      </c>
      <c r="K748" s="7">
        <v>1</v>
      </c>
      <c r="L748" s="7" t="s">
        <v>38</v>
      </c>
      <c r="M748" s="7">
        <f t="shared" si="52"/>
        <v>0</v>
      </c>
      <c r="N748" s="9" t="s">
        <v>36</v>
      </c>
      <c r="O748" s="7">
        <v>0</v>
      </c>
      <c r="P748" s="9" t="s">
        <v>37</v>
      </c>
      <c r="Q748" s="7"/>
      <c r="R748" s="7" t="s">
        <v>38</v>
      </c>
      <c r="S748" s="10" t="s">
        <v>1910</v>
      </c>
      <c r="T748" s="7"/>
      <c r="U748" s="7"/>
      <c r="V748" s="7"/>
      <c r="W748" s="7"/>
      <c r="X748" s="7"/>
      <c r="Y748" s="7"/>
      <c r="Z748" s="7"/>
      <c r="AA748" s="7"/>
      <c r="AB748" s="7">
        <v>0.33333333333333298</v>
      </c>
      <c r="AC748" s="7">
        <f t="shared" si="53"/>
        <v>0</v>
      </c>
      <c r="AD748" s="7">
        <v>1</v>
      </c>
      <c r="AE748" s="7"/>
      <c r="AF748" s="7" t="s">
        <v>40</v>
      </c>
      <c r="AG748" s="7"/>
      <c r="AH748" s="7"/>
      <c r="AI748" s="7"/>
      <c r="AJ748" s="7"/>
      <c r="AK748" s="7"/>
      <c r="AL748" s="9"/>
      <c r="AM748" s="7" t="s">
        <v>71</v>
      </c>
      <c r="AN748" s="7" t="s">
        <v>71</v>
      </c>
      <c r="AO748" s="12"/>
    </row>
    <row r="749" spans="1:41" s="11" customFormat="1" x14ac:dyDescent="0.25">
      <c r="A749" s="2">
        <v>748</v>
      </c>
      <c r="B749" s="7" t="s">
        <v>579</v>
      </c>
      <c r="C749" s="7" t="s">
        <v>100</v>
      </c>
      <c r="D749" s="7">
        <v>7</v>
      </c>
      <c r="E749" s="7">
        <v>7</v>
      </c>
      <c r="F749" s="8">
        <v>1</v>
      </c>
      <c r="G749" s="8">
        <v>1</v>
      </c>
      <c r="H749" s="7">
        <v>1</v>
      </c>
      <c r="I749" s="7">
        <v>1</v>
      </c>
      <c r="J749" s="9" t="s">
        <v>77</v>
      </c>
      <c r="K749" s="7">
        <v>1</v>
      </c>
      <c r="L749" s="7" t="s">
        <v>38</v>
      </c>
      <c r="M749" s="7">
        <f t="shared" si="52"/>
        <v>0</v>
      </c>
      <c r="N749" s="9" t="s">
        <v>36</v>
      </c>
      <c r="O749" s="7">
        <v>0</v>
      </c>
      <c r="P749" s="9" t="s">
        <v>37</v>
      </c>
      <c r="Q749" s="7" t="s">
        <v>38</v>
      </c>
      <c r="R749" s="7" t="s">
        <v>38</v>
      </c>
      <c r="S749" s="10" t="s">
        <v>1911</v>
      </c>
      <c r="T749" s="7"/>
      <c r="U749" s="7"/>
      <c r="V749" s="7"/>
      <c r="W749" s="7"/>
      <c r="X749" s="7">
        <v>3</v>
      </c>
      <c r="Y749" s="7"/>
      <c r="Z749" s="7"/>
      <c r="AA749" s="7"/>
      <c r="AB749" s="7">
        <f t="shared" ref="AB749:AB756" si="55">(U749+X749+Z749)/3</f>
        <v>1</v>
      </c>
      <c r="AC749" s="7">
        <f t="shared" si="53"/>
        <v>0</v>
      </c>
      <c r="AD749" s="7"/>
      <c r="AE749" s="7">
        <v>1</v>
      </c>
      <c r="AF749" s="7"/>
      <c r="AG749" s="7" t="s">
        <v>642</v>
      </c>
      <c r="AH749" s="7"/>
      <c r="AI749" s="7"/>
      <c r="AJ749" s="7"/>
      <c r="AK749" s="7"/>
      <c r="AL749" s="9"/>
      <c r="AM749" s="7" t="s">
        <v>71</v>
      </c>
      <c r="AN749" s="7" t="s">
        <v>71</v>
      </c>
      <c r="AO749" s="12"/>
    </row>
    <row r="750" spans="1:41" s="11" customFormat="1" x14ac:dyDescent="0.25">
      <c r="A750" s="2">
        <v>749</v>
      </c>
      <c r="B750" s="7" t="s">
        <v>579</v>
      </c>
      <c r="C750" s="7" t="s">
        <v>100</v>
      </c>
      <c r="D750" s="7">
        <v>5</v>
      </c>
      <c r="E750" s="7">
        <v>5</v>
      </c>
      <c r="F750" s="8">
        <v>1</v>
      </c>
      <c r="G750" s="8">
        <v>1</v>
      </c>
      <c r="H750" s="7">
        <v>1</v>
      </c>
      <c r="I750" s="7">
        <v>1</v>
      </c>
      <c r="J750" s="9" t="s">
        <v>77</v>
      </c>
      <c r="K750" s="7">
        <v>1</v>
      </c>
      <c r="L750" s="7" t="s">
        <v>38</v>
      </c>
      <c r="M750" s="7">
        <f t="shared" si="52"/>
        <v>0</v>
      </c>
      <c r="N750" s="9"/>
      <c r="O750" s="7"/>
      <c r="P750" s="9"/>
      <c r="Q750" s="7"/>
      <c r="R750" s="7"/>
      <c r="S750" s="7"/>
      <c r="T750" s="7"/>
      <c r="U750" s="7"/>
      <c r="V750" s="7"/>
      <c r="W750" s="7"/>
      <c r="X750" s="7">
        <v>3</v>
      </c>
      <c r="Y750" s="7"/>
      <c r="Z750" s="7"/>
      <c r="AA750" s="7"/>
      <c r="AB750" s="7">
        <f t="shared" si="55"/>
        <v>1</v>
      </c>
      <c r="AC750" s="7">
        <f t="shared" si="53"/>
        <v>0</v>
      </c>
      <c r="AD750" s="7"/>
      <c r="AE750" s="7"/>
      <c r="AF750" s="7"/>
      <c r="AG750" s="7"/>
      <c r="AH750" s="7"/>
      <c r="AI750" s="7"/>
      <c r="AJ750" s="7"/>
      <c r="AK750" s="7"/>
      <c r="AL750" s="9"/>
      <c r="AM750" s="7" t="s">
        <v>71</v>
      </c>
      <c r="AN750" s="7" t="s">
        <v>71</v>
      </c>
      <c r="AO750" s="12"/>
    </row>
    <row r="751" spans="1:41" s="11" customFormat="1" x14ac:dyDescent="0.25">
      <c r="A751" s="2">
        <v>750</v>
      </c>
      <c r="B751" s="7" t="s">
        <v>579</v>
      </c>
      <c r="C751" s="7" t="s">
        <v>100</v>
      </c>
      <c r="D751" s="7">
        <v>13</v>
      </c>
      <c r="E751" s="7">
        <v>13</v>
      </c>
      <c r="F751" s="8">
        <v>1</v>
      </c>
      <c r="G751" s="8">
        <v>1</v>
      </c>
      <c r="H751" s="7">
        <v>1</v>
      </c>
      <c r="I751" s="7">
        <v>1</v>
      </c>
      <c r="J751" s="9" t="s">
        <v>353</v>
      </c>
      <c r="K751" s="7"/>
      <c r="L751" s="7" t="s">
        <v>38</v>
      </c>
      <c r="M751" s="7">
        <f t="shared" si="52"/>
        <v>0</v>
      </c>
      <c r="N751" s="9"/>
      <c r="O751" s="7"/>
      <c r="P751" s="9"/>
      <c r="Q751" s="7"/>
      <c r="R751" s="7"/>
      <c r="S751" s="7"/>
      <c r="T751" s="7"/>
      <c r="U751" s="7"/>
      <c r="V751" s="7"/>
      <c r="W751" s="7"/>
      <c r="X751" s="7">
        <v>3</v>
      </c>
      <c r="Y751" s="7"/>
      <c r="Z751" s="7"/>
      <c r="AA751" s="7"/>
      <c r="AB751" s="7">
        <f t="shared" si="55"/>
        <v>1</v>
      </c>
      <c r="AC751" s="7">
        <f t="shared" si="53"/>
        <v>0</v>
      </c>
      <c r="AD751" s="7"/>
      <c r="AE751" s="7"/>
      <c r="AF751" s="7"/>
      <c r="AG751" s="7"/>
      <c r="AH751" s="7"/>
      <c r="AI751" s="7"/>
      <c r="AJ751" s="7"/>
      <c r="AK751" s="7"/>
      <c r="AL751" s="9"/>
      <c r="AM751" s="7" t="s">
        <v>71</v>
      </c>
      <c r="AN751" s="7" t="s">
        <v>71</v>
      </c>
      <c r="AO751" s="12"/>
    </row>
    <row r="752" spans="1:41" s="11" customFormat="1" x14ac:dyDescent="0.25">
      <c r="A752" s="2">
        <v>751</v>
      </c>
      <c r="B752" s="7" t="s">
        <v>579</v>
      </c>
      <c r="C752" s="7" t="s">
        <v>100</v>
      </c>
      <c r="D752" s="7">
        <v>16</v>
      </c>
      <c r="E752" s="7">
        <v>16</v>
      </c>
      <c r="F752" s="8">
        <v>1</v>
      </c>
      <c r="G752" s="8">
        <v>1</v>
      </c>
      <c r="H752" s="7">
        <v>1</v>
      </c>
      <c r="I752" s="7">
        <v>1</v>
      </c>
      <c r="J752" s="9" t="s">
        <v>219</v>
      </c>
      <c r="K752" s="7">
        <v>2</v>
      </c>
      <c r="L752" s="7" t="s">
        <v>52</v>
      </c>
      <c r="M752" s="7">
        <f t="shared" si="52"/>
        <v>1</v>
      </c>
      <c r="N752" s="9"/>
      <c r="O752" s="7"/>
      <c r="P752" s="9"/>
      <c r="Q752" s="7"/>
      <c r="R752" s="7"/>
      <c r="S752" s="7"/>
      <c r="T752" s="7"/>
      <c r="U752" s="7"/>
      <c r="V752" s="7"/>
      <c r="W752" s="7"/>
      <c r="X752" s="7">
        <v>3</v>
      </c>
      <c r="Y752" s="7"/>
      <c r="Z752" s="7"/>
      <c r="AA752" s="7"/>
      <c r="AB752" s="7">
        <f t="shared" si="55"/>
        <v>1</v>
      </c>
      <c r="AC752" s="7">
        <f t="shared" si="53"/>
        <v>1</v>
      </c>
      <c r="AD752" s="7"/>
      <c r="AE752" s="7"/>
      <c r="AF752" s="7"/>
      <c r="AG752" s="7"/>
      <c r="AH752" s="7"/>
      <c r="AI752" s="7"/>
      <c r="AJ752" s="7"/>
      <c r="AK752" s="7"/>
      <c r="AL752" s="9"/>
      <c r="AM752" s="7" t="s">
        <v>71</v>
      </c>
      <c r="AN752" s="7" t="s">
        <v>71</v>
      </c>
      <c r="AO752" s="12"/>
    </row>
    <row r="753" spans="1:41" s="11" customFormat="1" x14ac:dyDescent="0.25">
      <c r="A753" s="2">
        <v>752</v>
      </c>
      <c r="B753" s="7" t="s">
        <v>579</v>
      </c>
      <c r="C753" s="7" t="s">
        <v>50</v>
      </c>
      <c r="D753" s="7">
        <v>107</v>
      </c>
      <c r="E753" s="7">
        <v>107</v>
      </c>
      <c r="F753" s="8">
        <v>1</v>
      </c>
      <c r="G753" s="8">
        <v>1</v>
      </c>
      <c r="H753" s="7">
        <v>1</v>
      </c>
      <c r="I753" s="7">
        <v>1</v>
      </c>
      <c r="J753" s="9" t="s">
        <v>219</v>
      </c>
      <c r="K753" s="7">
        <v>1</v>
      </c>
      <c r="L753" s="7" t="s">
        <v>52</v>
      </c>
      <c r="M753" s="7">
        <f t="shared" si="52"/>
        <v>1</v>
      </c>
      <c r="N753" s="9" t="s">
        <v>82</v>
      </c>
      <c r="O753" s="7">
        <v>0</v>
      </c>
      <c r="P753" s="9" t="s">
        <v>36</v>
      </c>
      <c r="Q753" s="7" t="s">
        <v>38</v>
      </c>
      <c r="R753" s="7" t="s">
        <v>38</v>
      </c>
      <c r="S753" s="10" t="s">
        <v>1912</v>
      </c>
      <c r="T753" s="7"/>
      <c r="U753" s="7"/>
      <c r="V753" s="7"/>
      <c r="W753" s="7"/>
      <c r="X753" s="7"/>
      <c r="Y753" s="7">
        <v>7</v>
      </c>
      <c r="Z753" s="7">
        <v>7</v>
      </c>
      <c r="AA753" s="7">
        <v>200</v>
      </c>
      <c r="AB753" s="7">
        <f t="shared" si="55"/>
        <v>2.3333333333333335</v>
      </c>
      <c r="AC753" s="7">
        <f t="shared" si="53"/>
        <v>2.3333333333333335</v>
      </c>
      <c r="AD753" s="7"/>
      <c r="AE753" s="7"/>
      <c r="AF753" s="7"/>
      <c r="AG753" s="7"/>
      <c r="AH753" s="7"/>
      <c r="AI753" s="7"/>
      <c r="AJ753" s="7"/>
      <c r="AK753" s="7"/>
      <c r="AL753" s="9"/>
      <c r="AM753" s="7" t="s">
        <v>71</v>
      </c>
      <c r="AN753" s="7" t="s">
        <v>71</v>
      </c>
      <c r="AO753" s="12"/>
    </row>
    <row r="754" spans="1:41" s="11" customFormat="1" x14ac:dyDescent="0.25">
      <c r="A754" s="2">
        <v>753</v>
      </c>
      <c r="B754" s="7" t="s">
        <v>579</v>
      </c>
      <c r="C754" s="7" t="s">
        <v>100</v>
      </c>
      <c r="D754" s="7">
        <v>32</v>
      </c>
      <c r="E754" s="7">
        <v>32</v>
      </c>
      <c r="F754" s="8">
        <v>1</v>
      </c>
      <c r="G754" s="8">
        <v>1</v>
      </c>
      <c r="H754" s="7">
        <v>1</v>
      </c>
      <c r="I754" s="7">
        <v>1</v>
      </c>
      <c r="J754" s="9" t="s">
        <v>219</v>
      </c>
      <c r="K754" s="7">
        <v>1</v>
      </c>
      <c r="L754" s="7" t="s">
        <v>52</v>
      </c>
      <c r="M754" s="7">
        <f t="shared" si="52"/>
        <v>1</v>
      </c>
      <c r="N754" s="9"/>
      <c r="O754" s="7"/>
      <c r="P754" s="9"/>
      <c r="Q754" s="7"/>
      <c r="R754" s="7"/>
      <c r="S754" s="7"/>
      <c r="T754" s="7"/>
      <c r="U754" s="7"/>
      <c r="V754" s="7"/>
      <c r="W754" s="7"/>
      <c r="X754" s="7">
        <v>3</v>
      </c>
      <c r="Y754" s="7"/>
      <c r="Z754" s="7"/>
      <c r="AA754" s="7"/>
      <c r="AB754" s="7">
        <f t="shared" si="55"/>
        <v>1</v>
      </c>
      <c r="AC754" s="7">
        <f t="shared" si="53"/>
        <v>1</v>
      </c>
      <c r="AD754" s="7"/>
      <c r="AE754" s="7"/>
      <c r="AF754" s="7"/>
      <c r="AG754" s="7"/>
      <c r="AH754" s="7"/>
      <c r="AI754" s="7"/>
      <c r="AJ754" s="7"/>
      <c r="AK754" s="7"/>
      <c r="AL754" s="9"/>
      <c r="AM754" s="7" t="s">
        <v>71</v>
      </c>
      <c r="AN754" s="7" t="s">
        <v>71</v>
      </c>
      <c r="AO754" s="12"/>
    </row>
    <row r="755" spans="1:41" s="11" customFormat="1" x14ac:dyDescent="0.25">
      <c r="A755" s="2">
        <v>754</v>
      </c>
      <c r="B755" s="7" t="s">
        <v>579</v>
      </c>
      <c r="C755" s="7" t="s">
        <v>100</v>
      </c>
      <c r="D755" s="7">
        <v>4</v>
      </c>
      <c r="E755" s="7">
        <v>4</v>
      </c>
      <c r="F755" s="8">
        <v>1</v>
      </c>
      <c r="G755" s="8">
        <v>1</v>
      </c>
      <c r="H755" s="7">
        <v>1</v>
      </c>
      <c r="I755" s="7">
        <v>1</v>
      </c>
      <c r="J755" s="9" t="s">
        <v>35</v>
      </c>
      <c r="K755" s="7">
        <v>2</v>
      </c>
      <c r="L755" s="7" t="s">
        <v>52</v>
      </c>
      <c r="M755" s="7">
        <f t="shared" si="52"/>
        <v>1</v>
      </c>
      <c r="N755" s="9" t="s">
        <v>36</v>
      </c>
      <c r="O755" s="7">
        <v>0</v>
      </c>
      <c r="P755" s="9" t="s">
        <v>63</v>
      </c>
      <c r="Q755" s="7" t="s">
        <v>52</v>
      </c>
      <c r="R755" s="7" t="s">
        <v>38</v>
      </c>
      <c r="S755" s="10" t="s">
        <v>1913</v>
      </c>
      <c r="T755" s="7"/>
      <c r="U755" s="7"/>
      <c r="V755" s="7"/>
      <c r="W755" s="7"/>
      <c r="X755" s="7">
        <v>3</v>
      </c>
      <c r="Y755" s="7"/>
      <c r="Z755" s="7"/>
      <c r="AA755" s="7"/>
      <c r="AB755" s="7">
        <f t="shared" si="55"/>
        <v>1</v>
      </c>
      <c r="AC755" s="7">
        <f t="shared" si="53"/>
        <v>1</v>
      </c>
      <c r="AD755" s="7"/>
      <c r="AE755" s="7"/>
      <c r="AF755" s="7"/>
      <c r="AG755" s="7"/>
      <c r="AH755" s="7"/>
      <c r="AI755" s="7"/>
      <c r="AJ755" s="7" t="s">
        <v>2359</v>
      </c>
      <c r="AK755" s="7"/>
      <c r="AL755" s="9"/>
      <c r="AM755" s="7" t="s">
        <v>71</v>
      </c>
      <c r="AN755" s="7" t="s">
        <v>71</v>
      </c>
      <c r="AO755" s="12"/>
    </row>
    <row r="756" spans="1:41" s="11" customFormat="1" x14ac:dyDescent="0.25">
      <c r="A756" s="2">
        <v>755</v>
      </c>
      <c r="B756" s="7" t="s">
        <v>579</v>
      </c>
      <c r="C756" s="7" t="s">
        <v>89</v>
      </c>
      <c r="D756" s="7" t="s">
        <v>643</v>
      </c>
      <c r="E756" s="7">
        <v>23</v>
      </c>
      <c r="F756" s="8">
        <v>2</v>
      </c>
      <c r="G756" s="8">
        <v>2</v>
      </c>
      <c r="H756" s="7" t="s">
        <v>87</v>
      </c>
      <c r="I756" s="7">
        <v>2</v>
      </c>
      <c r="J756" s="9" t="s">
        <v>35</v>
      </c>
      <c r="K756" s="7">
        <v>2</v>
      </c>
      <c r="L756" s="7" t="s">
        <v>52</v>
      </c>
      <c r="M756" s="7">
        <f t="shared" si="52"/>
        <v>2</v>
      </c>
      <c r="N756" s="9" t="s">
        <v>34</v>
      </c>
      <c r="O756" s="7">
        <v>0</v>
      </c>
      <c r="P756" s="9" t="s">
        <v>33</v>
      </c>
      <c r="Q756" s="7" t="s">
        <v>52</v>
      </c>
      <c r="R756" s="7" t="s">
        <v>38</v>
      </c>
      <c r="S756" s="10" t="s">
        <v>1517</v>
      </c>
      <c r="T756" s="7"/>
      <c r="U756" s="7"/>
      <c r="V756" s="7"/>
      <c r="W756" s="7"/>
      <c r="X756" s="7">
        <v>3</v>
      </c>
      <c r="Y756" s="7"/>
      <c r="Z756" s="7"/>
      <c r="AA756" s="7"/>
      <c r="AB756" s="7">
        <f t="shared" si="55"/>
        <v>1</v>
      </c>
      <c r="AC756" s="7">
        <f t="shared" si="53"/>
        <v>1</v>
      </c>
      <c r="AD756" s="7"/>
      <c r="AE756" s="7"/>
      <c r="AF756" s="7"/>
      <c r="AG756" s="7"/>
      <c r="AH756" s="7"/>
      <c r="AI756" s="7"/>
      <c r="AJ756" s="7" t="s">
        <v>2359</v>
      </c>
      <c r="AK756" s="7"/>
      <c r="AL756" s="9"/>
      <c r="AM756" s="7" t="s">
        <v>71</v>
      </c>
      <c r="AN756" s="7" t="s">
        <v>71</v>
      </c>
      <c r="AO756" s="12"/>
    </row>
    <row r="757" spans="1:41" s="11" customFormat="1" x14ac:dyDescent="0.25">
      <c r="A757" s="2">
        <v>756</v>
      </c>
      <c r="B757" s="7" t="s">
        <v>579</v>
      </c>
      <c r="C757" s="7" t="s">
        <v>577</v>
      </c>
      <c r="D757" s="7">
        <v>143</v>
      </c>
      <c r="E757" s="7">
        <v>143</v>
      </c>
      <c r="F757" s="8">
        <v>7</v>
      </c>
      <c r="G757" s="8">
        <v>7</v>
      </c>
      <c r="H757" s="7" t="s">
        <v>122</v>
      </c>
      <c r="I757" s="7">
        <v>7</v>
      </c>
      <c r="J757" s="9" t="s">
        <v>639</v>
      </c>
      <c r="K757" s="7"/>
      <c r="L757" s="7" t="s">
        <v>38</v>
      </c>
      <c r="M757" s="7">
        <f t="shared" si="52"/>
        <v>0</v>
      </c>
      <c r="N757" s="9"/>
      <c r="O757" s="7"/>
      <c r="P757" s="9"/>
      <c r="Q757" s="7"/>
      <c r="R757" s="7"/>
      <c r="S757" s="7"/>
      <c r="T757" s="7"/>
      <c r="U757" s="7"/>
      <c r="V757" s="7"/>
      <c r="W757" s="7"/>
      <c r="X757" s="7"/>
      <c r="Y757" s="7"/>
      <c r="Z757" s="7"/>
      <c r="AA757" s="7"/>
      <c r="AB757" s="7">
        <v>0.33333333333333298</v>
      </c>
      <c r="AC757" s="7">
        <f t="shared" si="53"/>
        <v>0</v>
      </c>
      <c r="AD757" s="7"/>
      <c r="AE757" s="7"/>
      <c r="AF757" s="7"/>
      <c r="AG757" s="7"/>
      <c r="AH757" s="7"/>
      <c r="AI757" s="7"/>
      <c r="AJ757" s="7"/>
      <c r="AK757" s="7"/>
      <c r="AL757" s="9"/>
      <c r="AM757" s="7"/>
      <c r="AN757" s="7"/>
      <c r="AO757" s="15" t="s">
        <v>2568</v>
      </c>
    </row>
    <row r="758" spans="1:41" s="11" customFormat="1" ht="24" x14ac:dyDescent="0.25">
      <c r="A758" s="2">
        <v>757</v>
      </c>
      <c r="B758" s="7" t="s">
        <v>644</v>
      </c>
      <c r="C758" s="7" t="s">
        <v>44</v>
      </c>
      <c r="D758" s="7" t="s">
        <v>645</v>
      </c>
      <c r="E758" s="7">
        <f>277+201+81+77+70+60+37+70+23+19+19+18+16+11+10+10+9+8+14+1</f>
        <v>1031</v>
      </c>
      <c r="F758" s="8">
        <v>1</v>
      </c>
      <c r="G758" s="8">
        <v>29</v>
      </c>
      <c r="H758" s="7" t="s">
        <v>646</v>
      </c>
      <c r="I758" s="7">
        <v>29</v>
      </c>
      <c r="J758" s="9" t="s">
        <v>35</v>
      </c>
      <c r="K758" s="7">
        <v>2</v>
      </c>
      <c r="L758" s="7" t="s">
        <v>52</v>
      </c>
      <c r="M758" s="7">
        <f t="shared" si="52"/>
        <v>1</v>
      </c>
      <c r="N758" s="9" t="s">
        <v>36</v>
      </c>
      <c r="O758" s="7">
        <v>0</v>
      </c>
      <c r="P758" s="9" t="s">
        <v>33</v>
      </c>
      <c r="Q758" s="7" t="s">
        <v>52</v>
      </c>
      <c r="R758" s="7" t="s">
        <v>38</v>
      </c>
      <c r="S758" s="10" t="s">
        <v>1914</v>
      </c>
      <c r="T758" s="7"/>
      <c r="U758" s="7"/>
      <c r="V758" s="7"/>
      <c r="W758" s="7"/>
      <c r="X758" s="7"/>
      <c r="Y758" s="7">
        <v>45</v>
      </c>
      <c r="Z758" s="7">
        <v>45</v>
      </c>
      <c r="AA758" s="7">
        <v>120</v>
      </c>
      <c r="AB758" s="7">
        <f>(U758+X758+Z758)/3</f>
        <v>15</v>
      </c>
      <c r="AC758" s="7">
        <f t="shared" si="53"/>
        <v>15</v>
      </c>
      <c r="AD758" s="7"/>
      <c r="AE758" s="7"/>
      <c r="AF758" s="7"/>
      <c r="AG758" s="7"/>
      <c r="AH758" s="7"/>
      <c r="AI758" s="7"/>
      <c r="AJ758" s="10" t="s">
        <v>2360</v>
      </c>
      <c r="AK758" s="7"/>
      <c r="AL758" s="9" t="s">
        <v>38</v>
      </c>
      <c r="AM758" s="7" t="s">
        <v>647</v>
      </c>
      <c r="AN758" s="7" t="s">
        <v>2847</v>
      </c>
      <c r="AO758" s="15" t="s">
        <v>2569</v>
      </c>
    </row>
    <row r="759" spans="1:41" s="11" customFormat="1" x14ac:dyDescent="0.25">
      <c r="A759" s="2">
        <v>758</v>
      </c>
      <c r="B759" s="7" t="s">
        <v>644</v>
      </c>
      <c r="C759" s="7" t="s">
        <v>100</v>
      </c>
      <c r="D759" s="7">
        <v>5</v>
      </c>
      <c r="E759" s="7">
        <v>5</v>
      </c>
      <c r="F759" s="8">
        <v>1</v>
      </c>
      <c r="G759" s="8">
        <v>1</v>
      </c>
      <c r="H759" s="7">
        <v>1</v>
      </c>
      <c r="I759" s="7">
        <v>1</v>
      </c>
      <c r="J759" s="9" t="s">
        <v>77</v>
      </c>
      <c r="K759" s="7">
        <v>2</v>
      </c>
      <c r="L759" s="7" t="s">
        <v>38</v>
      </c>
      <c r="M759" s="7">
        <f t="shared" si="52"/>
        <v>0</v>
      </c>
      <c r="N759" s="9" t="s">
        <v>34</v>
      </c>
      <c r="O759" s="7">
        <v>0</v>
      </c>
      <c r="P759" s="9" t="s">
        <v>33</v>
      </c>
      <c r="Q759" s="7" t="s">
        <v>38</v>
      </c>
      <c r="R759" s="7" t="s">
        <v>38</v>
      </c>
      <c r="S759" s="7"/>
      <c r="T759" s="7"/>
      <c r="U759" s="7"/>
      <c r="V759" s="7"/>
      <c r="W759" s="7"/>
      <c r="X759" s="7">
        <v>3</v>
      </c>
      <c r="Y759" s="7"/>
      <c r="Z759" s="7"/>
      <c r="AA759" s="7"/>
      <c r="AB759" s="7">
        <f>(U759+X759+Z759)/3</f>
        <v>1</v>
      </c>
      <c r="AC759" s="7">
        <f t="shared" si="53"/>
        <v>0</v>
      </c>
      <c r="AD759" s="7"/>
      <c r="AE759" s="7">
        <v>1</v>
      </c>
      <c r="AF759" s="7"/>
      <c r="AG759" s="7" t="s">
        <v>648</v>
      </c>
      <c r="AH759" s="7"/>
      <c r="AI759" s="7"/>
      <c r="AJ759" s="7"/>
      <c r="AK759" s="10" t="s">
        <v>2455</v>
      </c>
      <c r="AL759" s="9"/>
      <c r="AM759" s="7" t="s">
        <v>42</v>
      </c>
      <c r="AN759" s="7" t="s">
        <v>42</v>
      </c>
      <c r="AO759" s="12"/>
    </row>
    <row r="760" spans="1:41" s="11" customFormat="1" x14ac:dyDescent="0.25">
      <c r="A760" s="2">
        <v>759</v>
      </c>
      <c r="B760" s="7" t="s">
        <v>644</v>
      </c>
      <c r="C760" s="7" t="s">
        <v>78</v>
      </c>
      <c r="D760" s="7">
        <v>1</v>
      </c>
      <c r="E760" s="7">
        <v>1</v>
      </c>
      <c r="F760" s="8">
        <v>1</v>
      </c>
      <c r="G760" s="8">
        <v>1</v>
      </c>
      <c r="H760" s="7">
        <v>1</v>
      </c>
      <c r="I760" s="7">
        <v>1</v>
      </c>
      <c r="J760" s="9" t="s">
        <v>70</v>
      </c>
      <c r="K760" s="7">
        <v>1</v>
      </c>
      <c r="L760" s="7" t="s">
        <v>52</v>
      </c>
      <c r="M760" s="7">
        <f t="shared" si="52"/>
        <v>1</v>
      </c>
      <c r="N760" s="9" t="s">
        <v>34</v>
      </c>
      <c r="O760" s="7">
        <v>0</v>
      </c>
      <c r="P760" s="9" t="s">
        <v>34</v>
      </c>
      <c r="Q760" s="7" t="s">
        <v>38</v>
      </c>
      <c r="R760" s="7" t="s">
        <v>38</v>
      </c>
      <c r="S760" s="7"/>
      <c r="T760" s="7">
        <v>5</v>
      </c>
      <c r="U760" s="7">
        <v>5</v>
      </c>
      <c r="V760" s="7">
        <v>130</v>
      </c>
      <c r="W760" s="7" t="s">
        <v>254</v>
      </c>
      <c r="X760" s="7"/>
      <c r="Y760" s="7"/>
      <c r="Z760" s="7"/>
      <c r="AA760" s="7"/>
      <c r="AB760" s="7">
        <f>(U760+X760+Z760)/3</f>
        <v>1.6666666666666667</v>
      </c>
      <c r="AC760" s="7">
        <f t="shared" si="53"/>
        <v>1.6666666666666667</v>
      </c>
      <c r="AD760" s="7"/>
      <c r="AE760" s="7"/>
      <c r="AF760" s="7"/>
      <c r="AG760" s="7"/>
      <c r="AH760" s="7"/>
      <c r="AI760" s="7"/>
      <c r="AJ760" s="7"/>
      <c r="AK760" s="7"/>
      <c r="AL760" s="9"/>
      <c r="AM760" s="7" t="s">
        <v>71</v>
      </c>
      <c r="AN760" s="7" t="s">
        <v>71</v>
      </c>
      <c r="AO760" s="12"/>
    </row>
    <row r="761" spans="1:41" s="11" customFormat="1" x14ac:dyDescent="0.25">
      <c r="A761" s="2">
        <v>760</v>
      </c>
      <c r="B761" s="7" t="s">
        <v>644</v>
      </c>
      <c r="C761" s="7" t="s">
        <v>78</v>
      </c>
      <c r="D761" s="7">
        <v>3</v>
      </c>
      <c r="E761" s="7">
        <v>3</v>
      </c>
      <c r="F761" s="8">
        <v>1</v>
      </c>
      <c r="G761" s="8">
        <v>1</v>
      </c>
      <c r="H761" s="7">
        <v>1</v>
      </c>
      <c r="I761" s="7">
        <v>1</v>
      </c>
      <c r="J761" s="9" t="s">
        <v>35</v>
      </c>
      <c r="K761" s="7">
        <v>2</v>
      </c>
      <c r="L761" s="7" t="s">
        <v>52</v>
      </c>
      <c r="M761" s="7">
        <f t="shared" si="52"/>
        <v>1</v>
      </c>
      <c r="N761" s="9" t="s">
        <v>34</v>
      </c>
      <c r="O761" s="7">
        <v>0</v>
      </c>
      <c r="P761" s="9" t="s">
        <v>33</v>
      </c>
      <c r="Q761" s="7" t="s">
        <v>38</v>
      </c>
      <c r="R761" s="7" t="s">
        <v>38</v>
      </c>
      <c r="S761" s="7"/>
      <c r="T761" s="7">
        <v>7</v>
      </c>
      <c r="U761" s="7">
        <v>7</v>
      </c>
      <c r="V761" s="7">
        <v>140</v>
      </c>
      <c r="W761" s="7" t="s">
        <v>88</v>
      </c>
      <c r="X761" s="7"/>
      <c r="Y761" s="7"/>
      <c r="Z761" s="7"/>
      <c r="AA761" s="7"/>
      <c r="AB761" s="7">
        <f>(U761+X761+Z761)/3</f>
        <v>2.3333333333333335</v>
      </c>
      <c r="AC761" s="7">
        <f t="shared" si="53"/>
        <v>2.3333333333333335</v>
      </c>
      <c r="AD761" s="7"/>
      <c r="AE761" s="7"/>
      <c r="AF761" s="7"/>
      <c r="AG761" s="7"/>
      <c r="AH761" s="7"/>
      <c r="AI761" s="7"/>
      <c r="AJ761" s="7"/>
      <c r="AK761" s="7"/>
      <c r="AL761" s="9"/>
      <c r="AM761" s="7" t="s">
        <v>71</v>
      </c>
      <c r="AN761" s="7" t="s">
        <v>71</v>
      </c>
      <c r="AO761" s="12"/>
    </row>
    <row r="762" spans="1:41" s="11" customFormat="1" x14ac:dyDescent="0.25">
      <c r="A762" s="2">
        <v>761</v>
      </c>
      <c r="B762" s="7" t="s">
        <v>644</v>
      </c>
      <c r="C762" s="7" t="s">
        <v>78</v>
      </c>
      <c r="D762" s="7">
        <v>5</v>
      </c>
      <c r="E762" s="7">
        <v>5</v>
      </c>
      <c r="F762" s="8">
        <v>1</v>
      </c>
      <c r="G762" s="8">
        <v>1</v>
      </c>
      <c r="H762" s="7">
        <v>1</v>
      </c>
      <c r="I762" s="7">
        <v>1</v>
      </c>
      <c r="J762" s="9" t="s">
        <v>70</v>
      </c>
      <c r="K762" s="7">
        <v>1</v>
      </c>
      <c r="L762" s="7" t="s">
        <v>52</v>
      </c>
      <c r="M762" s="7">
        <f t="shared" si="52"/>
        <v>1</v>
      </c>
      <c r="N762" s="9" t="s">
        <v>82</v>
      </c>
      <c r="O762" s="7">
        <v>0</v>
      </c>
      <c r="P762" s="9" t="s">
        <v>36</v>
      </c>
      <c r="Q762" s="7" t="s">
        <v>38</v>
      </c>
      <c r="R762" s="7" t="s">
        <v>38</v>
      </c>
      <c r="S762" s="10" t="s">
        <v>1705</v>
      </c>
      <c r="T762" s="7" t="s">
        <v>92</v>
      </c>
      <c r="U762" s="7">
        <v>3</v>
      </c>
      <c r="V762" s="7" t="s">
        <v>199</v>
      </c>
      <c r="W762" s="7" t="s">
        <v>88</v>
      </c>
      <c r="X762" s="7"/>
      <c r="Y762" s="7"/>
      <c r="Z762" s="7"/>
      <c r="AA762" s="7"/>
      <c r="AB762" s="7">
        <f>(U762+X762+Z762)/3</f>
        <v>1</v>
      </c>
      <c r="AC762" s="7">
        <f t="shared" si="53"/>
        <v>1</v>
      </c>
      <c r="AD762" s="7"/>
      <c r="AE762" s="7"/>
      <c r="AF762" s="7"/>
      <c r="AG762" s="7"/>
      <c r="AH762" s="7"/>
      <c r="AI762" s="7"/>
      <c r="AJ762" s="7"/>
      <c r="AK762" s="7"/>
      <c r="AL762" s="9"/>
      <c r="AM762" s="7" t="s">
        <v>71</v>
      </c>
      <c r="AN762" s="7" t="s">
        <v>71</v>
      </c>
      <c r="AO762" s="12"/>
    </row>
    <row r="763" spans="1:41" s="11" customFormat="1" ht="24" x14ac:dyDescent="0.25">
      <c r="A763" s="2">
        <v>762</v>
      </c>
      <c r="B763" s="7" t="s">
        <v>644</v>
      </c>
      <c r="C763" s="7" t="s">
        <v>119</v>
      </c>
      <c r="D763" s="7">
        <v>4</v>
      </c>
      <c r="E763" s="7">
        <v>4</v>
      </c>
      <c r="F763" s="8">
        <v>1</v>
      </c>
      <c r="G763" s="8">
        <v>1</v>
      </c>
      <c r="H763" s="7">
        <v>1</v>
      </c>
      <c r="I763" s="7">
        <v>1</v>
      </c>
      <c r="J763" s="9" t="s">
        <v>35</v>
      </c>
      <c r="K763" s="7">
        <v>2</v>
      </c>
      <c r="L763" s="7" t="s">
        <v>52</v>
      </c>
      <c r="M763" s="7">
        <f t="shared" si="52"/>
        <v>1</v>
      </c>
      <c r="N763" s="9" t="s">
        <v>34</v>
      </c>
      <c r="O763" s="7">
        <v>0</v>
      </c>
      <c r="P763" s="9" t="s">
        <v>33</v>
      </c>
      <c r="Q763" s="7"/>
      <c r="R763" s="7" t="s">
        <v>38</v>
      </c>
      <c r="S763" s="7" t="s">
        <v>165</v>
      </c>
      <c r="T763" s="7"/>
      <c r="U763" s="7"/>
      <c r="V763" s="7"/>
      <c r="W763" s="7"/>
      <c r="X763" s="7"/>
      <c r="Y763" s="7"/>
      <c r="Z763" s="7"/>
      <c r="AA763" s="7"/>
      <c r="AB763" s="7">
        <v>0.33333333333333298</v>
      </c>
      <c r="AC763" s="7">
        <f t="shared" si="53"/>
        <v>0.33333333333333298</v>
      </c>
      <c r="AD763" s="7">
        <v>1</v>
      </c>
      <c r="AE763" s="7"/>
      <c r="AF763" s="7"/>
      <c r="AG763" s="7" t="s">
        <v>649</v>
      </c>
      <c r="AH763" s="7" t="s">
        <v>54</v>
      </c>
      <c r="AI763" s="7"/>
      <c r="AJ763" s="7"/>
      <c r="AK763" s="7"/>
      <c r="AL763" s="9"/>
      <c r="AM763" s="7" t="s">
        <v>42</v>
      </c>
      <c r="AN763" s="7" t="s">
        <v>42</v>
      </c>
      <c r="AO763" s="12"/>
    </row>
    <row r="764" spans="1:41" s="11" customFormat="1" ht="24" x14ac:dyDescent="0.25">
      <c r="A764" s="2">
        <v>763</v>
      </c>
      <c r="B764" s="7" t="s">
        <v>644</v>
      </c>
      <c r="C764" s="7" t="s">
        <v>519</v>
      </c>
      <c r="D764" s="7">
        <v>73</v>
      </c>
      <c r="E764" s="7">
        <v>73</v>
      </c>
      <c r="F764" s="8">
        <v>1</v>
      </c>
      <c r="G764" s="8">
        <v>1</v>
      </c>
      <c r="H764" s="7">
        <v>1</v>
      </c>
      <c r="I764" s="7">
        <v>1</v>
      </c>
      <c r="J764" s="9" t="s">
        <v>35</v>
      </c>
      <c r="K764" s="7">
        <v>2</v>
      </c>
      <c r="L764" s="7" t="s">
        <v>52</v>
      </c>
      <c r="M764" s="7">
        <f t="shared" si="52"/>
        <v>1</v>
      </c>
      <c r="N764" s="9" t="s">
        <v>34</v>
      </c>
      <c r="O764" s="7">
        <v>0</v>
      </c>
      <c r="P764" s="9" t="s">
        <v>33</v>
      </c>
      <c r="Q764" s="7" t="s">
        <v>38</v>
      </c>
      <c r="R764" s="7" t="s">
        <v>38</v>
      </c>
      <c r="S764" s="10" t="s">
        <v>1915</v>
      </c>
      <c r="T764" s="7"/>
      <c r="U764" s="7"/>
      <c r="V764" s="7"/>
      <c r="W764" s="7"/>
      <c r="X764" s="7">
        <v>3</v>
      </c>
      <c r="Y764" s="7"/>
      <c r="Z764" s="7"/>
      <c r="AA764" s="7"/>
      <c r="AB764" s="7">
        <f t="shared" ref="AB764:AB779" si="56">(U764+X764+Z764)/3</f>
        <v>1</v>
      </c>
      <c r="AC764" s="7">
        <f t="shared" si="53"/>
        <v>1</v>
      </c>
      <c r="AD764" s="7">
        <v>1</v>
      </c>
      <c r="AE764" s="7"/>
      <c r="AF764" s="7" t="s">
        <v>40</v>
      </c>
      <c r="AG764" s="7" t="s">
        <v>606</v>
      </c>
      <c r="AH764" s="7"/>
      <c r="AI764" s="7"/>
      <c r="AJ764" s="7"/>
      <c r="AK764" s="7"/>
      <c r="AL764" s="9"/>
      <c r="AM764" s="7" t="s">
        <v>650</v>
      </c>
      <c r="AN764" s="7" t="s">
        <v>2848</v>
      </c>
      <c r="AO764" s="15" t="s">
        <v>2570</v>
      </c>
    </row>
    <row r="765" spans="1:41" s="11" customFormat="1" ht="24" x14ac:dyDescent="0.25">
      <c r="A765" s="2">
        <v>764</v>
      </c>
      <c r="B765" s="7" t="s">
        <v>644</v>
      </c>
      <c r="C765" s="7" t="s">
        <v>89</v>
      </c>
      <c r="D765" s="7" t="s">
        <v>651</v>
      </c>
      <c r="E765" s="7">
        <f>27+22+18+8+12+15+8+12+10+9</f>
        <v>141</v>
      </c>
      <c r="F765" s="8">
        <v>15</v>
      </c>
      <c r="G765" s="8">
        <v>34</v>
      </c>
      <c r="H765" s="7" t="s">
        <v>653</v>
      </c>
      <c r="I765" s="7">
        <v>34</v>
      </c>
      <c r="J765" s="9" t="s">
        <v>35</v>
      </c>
      <c r="K765" s="7">
        <v>2</v>
      </c>
      <c r="L765" s="7" t="s">
        <v>52</v>
      </c>
      <c r="M765" s="7">
        <f t="shared" si="52"/>
        <v>15</v>
      </c>
      <c r="N765" s="9"/>
      <c r="O765" s="7"/>
      <c r="P765" s="9"/>
      <c r="Q765" s="7"/>
      <c r="R765" s="7"/>
      <c r="S765" s="7"/>
      <c r="T765" s="7"/>
      <c r="U765" s="7"/>
      <c r="V765" s="7"/>
      <c r="W765" s="7"/>
      <c r="X765" s="7">
        <v>3</v>
      </c>
      <c r="Y765" s="7"/>
      <c r="Z765" s="7"/>
      <c r="AA765" s="7"/>
      <c r="AB765" s="7">
        <f t="shared" si="56"/>
        <v>1</v>
      </c>
      <c r="AC765" s="7">
        <f t="shared" si="53"/>
        <v>1</v>
      </c>
      <c r="AD765" s="7"/>
      <c r="AE765" s="7"/>
      <c r="AF765" s="7"/>
      <c r="AG765" s="7"/>
      <c r="AH765" s="7"/>
      <c r="AI765" s="7"/>
      <c r="AJ765" s="7"/>
      <c r="AK765" s="7"/>
      <c r="AL765" s="9"/>
      <c r="AM765" s="7" t="s">
        <v>71</v>
      </c>
      <c r="AN765" s="7" t="s">
        <v>71</v>
      </c>
      <c r="AO765" s="12"/>
    </row>
    <row r="766" spans="1:41" s="11" customFormat="1" x14ac:dyDescent="0.25">
      <c r="A766" s="2">
        <v>765</v>
      </c>
      <c r="B766" s="7" t="s">
        <v>644</v>
      </c>
      <c r="C766" s="7" t="s">
        <v>89</v>
      </c>
      <c r="D766" s="7" t="s">
        <v>1483</v>
      </c>
      <c r="E766" s="7">
        <f>12+7+1</f>
        <v>20</v>
      </c>
      <c r="F766" s="8">
        <v>3</v>
      </c>
      <c r="G766" s="8">
        <v>5</v>
      </c>
      <c r="H766" s="7" t="s">
        <v>345</v>
      </c>
      <c r="I766" s="7">
        <v>5</v>
      </c>
      <c r="J766" s="9" t="s">
        <v>35</v>
      </c>
      <c r="K766" s="7">
        <v>2</v>
      </c>
      <c r="L766" s="7" t="s">
        <v>52</v>
      </c>
      <c r="M766" s="7">
        <f t="shared" si="52"/>
        <v>3</v>
      </c>
      <c r="N766" s="9" t="s">
        <v>34</v>
      </c>
      <c r="O766" s="7"/>
      <c r="P766" s="9"/>
      <c r="Q766" s="7" t="s">
        <v>52</v>
      </c>
      <c r="R766" s="7" t="s">
        <v>38</v>
      </c>
      <c r="S766" s="7"/>
      <c r="T766" s="7"/>
      <c r="U766" s="7"/>
      <c r="V766" s="7"/>
      <c r="W766" s="7"/>
      <c r="X766" s="7">
        <v>3</v>
      </c>
      <c r="Y766" s="7"/>
      <c r="Z766" s="7"/>
      <c r="AA766" s="7"/>
      <c r="AB766" s="7">
        <f t="shared" si="56"/>
        <v>1</v>
      </c>
      <c r="AC766" s="7">
        <f t="shared" si="53"/>
        <v>1</v>
      </c>
      <c r="AD766" s="7"/>
      <c r="AE766" s="7"/>
      <c r="AF766" s="7"/>
      <c r="AG766" s="7"/>
      <c r="AH766" s="7"/>
      <c r="AI766" s="7"/>
      <c r="AJ766" s="10" t="s">
        <v>2360</v>
      </c>
      <c r="AK766" s="7"/>
      <c r="AL766" s="9"/>
      <c r="AM766" s="7" t="s">
        <v>71</v>
      </c>
      <c r="AN766" s="7" t="s">
        <v>71</v>
      </c>
      <c r="AO766" s="7"/>
    </row>
    <row r="767" spans="1:41" s="11" customFormat="1" x14ac:dyDescent="0.25">
      <c r="A767" s="2">
        <v>766</v>
      </c>
      <c r="B767" s="7" t="s">
        <v>644</v>
      </c>
      <c r="C767" s="7" t="s">
        <v>100</v>
      </c>
      <c r="D767" s="7">
        <v>8</v>
      </c>
      <c r="E767" s="7">
        <v>8</v>
      </c>
      <c r="F767" s="8">
        <v>1</v>
      </c>
      <c r="G767" s="8">
        <v>1</v>
      </c>
      <c r="H767" s="7">
        <v>1</v>
      </c>
      <c r="I767" s="7">
        <v>1</v>
      </c>
      <c r="J767" s="9" t="s">
        <v>219</v>
      </c>
      <c r="K767" s="7">
        <v>1</v>
      </c>
      <c r="L767" s="7" t="s">
        <v>52</v>
      </c>
      <c r="M767" s="7">
        <f t="shared" si="52"/>
        <v>1</v>
      </c>
      <c r="N767" s="9" t="s">
        <v>33</v>
      </c>
      <c r="O767" s="7"/>
      <c r="P767" s="9"/>
      <c r="Q767" s="7" t="s">
        <v>52</v>
      </c>
      <c r="R767" s="7" t="s">
        <v>38</v>
      </c>
      <c r="S767" s="7"/>
      <c r="T767" s="7"/>
      <c r="U767" s="7"/>
      <c r="V767" s="7"/>
      <c r="W767" s="7"/>
      <c r="X767" s="7">
        <v>3</v>
      </c>
      <c r="Y767" s="7"/>
      <c r="Z767" s="7"/>
      <c r="AA767" s="7"/>
      <c r="AB767" s="7">
        <f t="shared" si="56"/>
        <v>1</v>
      </c>
      <c r="AC767" s="7">
        <f t="shared" si="53"/>
        <v>1</v>
      </c>
      <c r="AD767" s="7"/>
      <c r="AE767" s="7"/>
      <c r="AF767" s="7"/>
      <c r="AG767" s="7"/>
      <c r="AH767" s="7"/>
      <c r="AI767" s="7"/>
      <c r="AJ767" s="10" t="s">
        <v>2361</v>
      </c>
      <c r="AK767" s="7"/>
      <c r="AL767" s="9"/>
      <c r="AM767" s="7" t="s">
        <v>71</v>
      </c>
      <c r="AN767" s="7" t="s">
        <v>71</v>
      </c>
      <c r="AO767" s="12"/>
    </row>
    <row r="768" spans="1:41" s="11" customFormat="1" ht="24" x14ac:dyDescent="0.25">
      <c r="A768" s="2">
        <v>767</v>
      </c>
      <c r="B768" s="7" t="s">
        <v>644</v>
      </c>
      <c r="C768" s="7" t="s">
        <v>245</v>
      </c>
      <c r="D768" s="7" t="s">
        <v>654</v>
      </c>
      <c r="E768" s="7">
        <v>113</v>
      </c>
      <c r="F768" s="8">
        <v>1</v>
      </c>
      <c r="G768" s="8">
        <v>2</v>
      </c>
      <c r="H768" s="7">
        <v>2</v>
      </c>
      <c r="I768" s="7">
        <v>2</v>
      </c>
      <c r="J768" s="9" t="s">
        <v>219</v>
      </c>
      <c r="K768" s="7">
        <v>1</v>
      </c>
      <c r="L768" s="7" t="s">
        <v>52</v>
      </c>
      <c r="M768" s="7">
        <f t="shared" si="52"/>
        <v>1</v>
      </c>
      <c r="N768" s="9" t="s">
        <v>34</v>
      </c>
      <c r="O768" s="7">
        <v>0</v>
      </c>
      <c r="P768" s="9" t="s">
        <v>34</v>
      </c>
      <c r="Q768" s="7" t="s">
        <v>38</v>
      </c>
      <c r="R768" s="7" t="s">
        <v>38</v>
      </c>
      <c r="S768" s="10" t="s">
        <v>1916</v>
      </c>
      <c r="T768" s="7">
        <v>10</v>
      </c>
      <c r="U768" s="7">
        <v>10</v>
      </c>
      <c r="V768" s="7">
        <v>290</v>
      </c>
      <c r="W768" s="7" t="s">
        <v>239</v>
      </c>
      <c r="X768" s="7"/>
      <c r="Y768" s="7"/>
      <c r="Z768" s="7"/>
      <c r="AA768" s="7"/>
      <c r="AB768" s="7">
        <f t="shared" si="56"/>
        <v>3.3333333333333335</v>
      </c>
      <c r="AC768" s="7">
        <f t="shared" si="53"/>
        <v>3.3333333333333335</v>
      </c>
      <c r="AD768" s="7"/>
      <c r="AE768" s="7">
        <v>1</v>
      </c>
      <c r="AF768" s="7" t="s">
        <v>155</v>
      </c>
      <c r="AG768" s="7"/>
      <c r="AH768" s="7"/>
      <c r="AI768" s="7"/>
      <c r="AJ768" s="7"/>
      <c r="AK768" s="7"/>
      <c r="AL768" s="9"/>
      <c r="AM768" s="7" t="s">
        <v>376</v>
      </c>
      <c r="AN768" s="7" t="s">
        <v>662</v>
      </c>
      <c r="AO768" s="12"/>
    </row>
    <row r="769" spans="1:41" s="11" customFormat="1" ht="24" x14ac:dyDescent="0.25">
      <c r="A769" s="2">
        <v>768</v>
      </c>
      <c r="B769" s="7" t="s">
        <v>655</v>
      </c>
      <c r="C769" s="7" t="s">
        <v>32</v>
      </c>
      <c r="D769" s="7" t="s">
        <v>656</v>
      </c>
      <c r="E769" s="7">
        <v>275</v>
      </c>
      <c r="F769" s="8">
        <v>1</v>
      </c>
      <c r="G769" s="8">
        <v>2</v>
      </c>
      <c r="H769" s="7">
        <v>2</v>
      </c>
      <c r="I769" s="7">
        <v>2</v>
      </c>
      <c r="J769" s="7" t="s">
        <v>1489</v>
      </c>
      <c r="K769" s="7">
        <v>2</v>
      </c>
      <c r="L769" s="7" t="s">
        <v>52</v>
      </c>
      <c r="M769" s="7">
        <f t="shared" si="52"/>
        <v>1</v>
      </c>
      <c r="N769" s="9" t="s">
        <v>34</v>
      </c>
      <c r="O769" s="7">
        <v>3</v>
      </c>
      <c r="P769" s="9" t="s">
        <v>37</v>
      </c>
      <c r="Q769" s="7" t="s">
        <v>38</v>
      </c>
      <c r="R769" s="7" t="s">
        <v>38</v>
      </c>
      <c r="S769" s="10" t="s">
        <v>1917</v>
      </c>
      <c r="T769" s="7"/>
      <c r="U769" s="7"/>
      <c r="V769" s="7"/>
      <c r="W769" s="7"/>
      <c r="X769" s="7"/>
      <c r="Y769" s="7">
        <v>100</v>
      </c>
      <c r="Z769" s="7">
        <v>100</v>
      </c>
      <c r="AA769" s="7">
        <v>73</v>
      </c>
      <c r="AB769" s="7">
        <f t="shared" si="56"/>
        <v>33.333333333333336</v>
      </c>
      <c r="AC769" s="7">
        <f t="shared" si="53"/>
        <v>33.333333333333336</v>
      </c>
      <c r="AD769" s="7"/>
      <c r="AE769" s="7">
        <v>3</v>
      </c>
      <c r="AF769" s="7" t="s">
        <v>40</v>
      </c>
      <c r="AG769" s="7" t="s">
        <v>657</v>
      </c>
      <c r="AH769" s="7"/>
      <c r="AI769" s="7"/>
      <c r="AJ769" s="7"/>
      <c r="AK769" s="7"/>
      <c r="AL769" s="9" t="s">
        <v>38</v>
      </c>
      <c r="AM769" s="7" t="s">
        <v>42</v>
      </c>
      <c r="AN769" s="7" t="s">
        <v>42</v>
      </c>
      <c r="AO769" s="12"/>
    </row>
    <row r="770" spans="1:41" s="11" customFormat="1" x14ac:dyDescent="0.25">
      <c r="A770" s="2">
        <v>769</v>
      </c>
      <c r="B770" s="7" t="s">
        <v>655</v>
      </c>
      <c r="C770" s="7" t="s">
        <v>32</v>
      </c>
      <c r="D770" s="7" t="s">
        <v>658</v>
      </c>
      <c r="E770" s="7">
        <f>51+45+15+4</f>
        <v>115</v>
      </c>
      <c r="F770" s="8">
        <v>1</v>
      </c>
      <c r="G770" s="8">
        <v>6</v>
      </c>
      <c r="H770" s="7">
        <v>6</v>
      </c>
      <c r="I770" s="7">
        <v>6</v>
      </c>
      <c r="J770" s="9" t="s">
        <v>35</v>
      </c>
      <c r="K770" s="7">
        <v>2</v>
      </c>
      <c r="L770" s="7" t="s">
        <v>52</v>
      </c>
      <c r="M770" s="7">
        <f t="shared" ref="M770:M833" si="57">IF(L770="n",F770,0)</f>
        <v>1</v>
      </c>
      <c r="N770" s="9" t="s">
        <v>34</v>
      </c>
      <c r="O770" s="7">
        <v>1</v>
      </c>
      <c r="P770" s="9" t="s">
        <v>33</v>
      </c>
      <c r="Q770" s="7" t="s">
        <v>38</v>
      </c>
      <c r="R770" s="7" t="s">
        <v>38</v>
      </c>
      <c r="S770" s="10" t="s">
        <v>1918</v>
      </c>
      <c r="T770" s="7"/>
      <c r="U770" s="7"/>
      <c r="V770" s="7"/>
      <c r="W770" s="7"/>
      <c r="X770" s="7"/>
      <c r="Y770" s="7">
        <v>25</v>
      </c>
      <c r="Z770" s="7">
        <v>25</v>
      </c>
      <c r="AA770" s="7">
        <v>90</v>
      </c>
      <c r="AB770" s="7">
        <f t="shared" si="56"/>
        <v>8.3333333333333339</v>
      </c>
      <c r="AC770" s="7">
        <f t="shared" ref="AC770:AC833" si="58">IF(L770="n",AB770,0)</f>
        <v>8.3333333333333339</v>
      </c>
      <c r="AD770" s="7"/>
      <c r="AE770" s="7">
        <v>2</v>
      </c>
      <c r="AF770" s="7" t="s">
        <v>40</v>
      </c>
      <c r="AG770" s="7" t="s">
        <v>659</v>
      </c>
      <c r="AH770" s="7"/>
      <c r="AI770" s="7"/>
      <c r="AJ770" s="7"/>
      <c r="AK770" s="7" t="s">
        <v>660</v>
      </c>
      <c r="AL770" s="9"/>
      <c r="AM770" s="7" t="s">
        <v>42</v>
      </c>
      <c r="AN770" s="7" t="s">
        <v>42</v>
      </c>
      <c r="AO770" s="12"/>
    </row>
    <row r="771" spans="1:41" s="11" customFormat="1" x14ac:dyDescent="0.25">
      <c r="A771" s="2">
        <v>770</v>
      </c>
      <c r="B771" s="7" t="s">
        <v>655</v>
      </c>
      <c r="C771" s="7" t="s">
        <v>50</v>
      </c>
      <c r="D771" s="7">
        <v>38</v>
      </c>
      <c r="E771" s="7">
        <v>38</v>
      </c>
      <c r="F771" s="8">
        <v>1</v>
      </c>
      <c r="G771" s="8">
        <v>1</v>
      </c>
      <c r="H771" s="7">
        <v>1</v>
      </c>
      <c r="I771" s="7">
        <v>1</v>
      </c>
      <c r="J771" s="9" t="s">
        <v>35</v>
      </c>
      <c r="K771" s="7">
        <v>1</v>
      </c>
      <c r="L771" s="7" t="s">
        <v>52</v>
      </c>
      <c r="M771" s="7">
        <f t="shared" si="57"/>
        <v>1</v>
      </c>
      <c r="N771" s="9" t="s">
        <v>36</v>
      </c>
      <c r="O771" s="7">
        <v>0</v>
      </c>
      <c r="P771" s="9" t="s">
        <v>63</v>
      </c>
      <c r="Q771" s="7" t="s">
        <v>38</v>
      </c>
      <c r="R771" s="7" t="s">
        <v>38</v>
      </c>
      <c r="S771" s="10" t="s">
        <v>1919</v>
      </c>
      <c r="T771" s="7"/>
      <c r="U771" s="7"/>
      <c r="V771" s="7"/>
      <c r="W771" s="7"/>
      <c r="X771" s="7"/>
      <c r="Y771" s="7">
        <v>35</v>
      </c>
      <c r="Z771" s="7">
        <v>35</v>
      </c>
      <c r="AA771" s="7">
        <v>65</v>
      </c>
      <c r="AB771" s="7">
        <f t="shared" si="56"/>
        <v>11.666666666666666</v>
      </c>
      <c r="AC771" s="7">
        <f t="shared" si="58"/>
        <v>11.666666666666666</v>
      </c>
      <c r="AD771" s="7"/>
      <c r="AE771" s="7"/>
      <c r="AF771" s="7"/>
      <c r="AG771" s="7"/>
      <c r="AH771" s="7"/>
      <c r="AI771" s="7"/>
      <c r="AJ771" s="10" t="s">
        <v>2362</v>
      </c>
      <c r="AK771" s="7"/>
      <c r="AL771" s="9"/>
      <c r="AM771" s="7" t="s">
        <v>42</v>
      </c>
      <c r="AN771" s="7" t="s">
        <v>42</v>
      </c>
      <c r="AO771" s="12"/>
    </row>
    <row r="772" spans="1:41" s="11" customFormat="1" x14ac:dyDescent="0.25">
      <c r="A772" s="2">
        <v>771</v>
      </c>
      <c r="B772" s="7" t="s">
        <v>655</v>
      </c>
      <c r="C772" s="7" t="s">
        <v>50</v>
      </c>
      <c r="D772" s="7">
        <v>15</v>
      </c>
      <c r="E772" s="7">
        <v>15</v>
      </c>
      <c r="F772" s="8">
        <v>1</v>
      </c>
      <c r="G772" s="8">
        <v>1</v>
      </c>
      <c r="H772" s="7">
        <v>1</v>
      </c>
      <c r="I772" s="7">
        <v>1</v>
      </c>
      <c r="J772" s="9" t="s">
        <v>35</v>
      </c>
      <c r="K772" s="7">
        <v>2</v>
      </c>
      <c r="L772" s="7" t="s">
        <v>52</v>
      </c>
      <c r="M772" s="7">
        <f t="shared" si="57"/>
        <v>1</v>
      </c>
      <c r="N772" s="9" t="s">
        <v>34</v>
      </c>
      <c r="O772" s="7">
        <v>1</v>
      </c>
      <c r="P772" s="9" t="s">
        <v>37</v>
      </c>
      <c r="Q772" s="7" t="s">
        <v>38</v>
      </c>
      <c r="R772" s="7" t="s">
        <v>38</v>
      </c>
      <c r="S772" s="10" t="s">
        <v>1753</v>
      </c>
      <c r="T772" s="7"/>
      <c r="U772" s="7"/>
      <c r="V772" s="7"/>
      <c r="W772" s="7"/>
      <c r="X772" s="7"/>
      <c r="Y772" s="7">
        <v>25</v>
      </c>
      <c r="Z772" s="7">
        <v>25</v>
      </c>
      <c r="AA772" s="7">
        <v>60</v>
      </c>
      <c r="AB772" s="7">
        <f t="shared" si="56"/>
        <v>8.3333333333333339</v>
      </c>
      <c r="AC772" s="7">
        <f t="shared" si="58"/>
        <v>8.3333333333333339</v>
      </c>
      <c r="AD772" s="7"/>
      <c r="AE772" s="7"/>
      <c r="AF772" s="7"/>
      <c r="AG772" s="7"/>
      <c r="AH772" s="7"/>
      <c r="AI772" s="7"/>
      <c r="AJ772" s="10" t="s">
        <v>2350</v>
      </c>
      <c r="AK772" s="7"/>
      <c r="AL772" s="9"/>
      <c r="AM772" s="7" t="s">
        <v>42</v>
      </c>
      <c r="AN772" s="7" t="s">
        <v>42</v>
      </c>
      <c r="AO772" s="12"/>
    </row>
    <row r="773" spans="1:41" s="11" customFormat="1" x14ac:dyDescent="0.25">
      <c r="A773" s="2">
        <v>772</v>
      </c>
      <c r="B773" s="7" t="s">
        <v>655</v>
      </c>
      <c r="C773" s="7" t="s">
        <v>100</v>
      </c>
      <c r="D773" s="7">
        <v>19</v>
      </c>
      <c r="E773" s="7">
        <v>19</v>
      </c>
      <c r="F773" s="8">
        <v>1</v>
      </c>
      <c r="G773" s="8">
        <v>1</v>
      </c>
      <c r="H773" s="7">
        <v>1</v>
      </c>
      <c r="I773" s="7">
        <v>1</v>
      </c>
      <c r="J773" s="9" t="s">
        <v>35</v>
      </c>
      <c r="K773" s="7">
        <v>2</v>
      </c>
      <c r="L773" s="7" t="s">
        <v>52</v>
      </c>
      <c r="M773" s="7">
        <f t="shared" si="57"/>
        <v>1</v>
      </c>
      <c r="N773" s="9" t="s">
        <v>34</v>
      </c>
      <c r="O773" s="7">
        <v>0</v>
      </c>
      <c r="P773" s="9" t="s">
        <v>33</v>
      </c>
      <c r="Q773" s="7" t="s">
        <v>38</v>
      </c>
      <c r="R773" s="7" t="s">
        <v>38</v>
      </c>
      <c r="S773" s="10" t="s">
        <v>1920</v>
      </c>
      <c r="T773" s="7"/>
      <c r="U773" s="7"/>
      <c r="V773" s="7"/>
      <c r="W773" s="7"/>
      <c r="X773" s="7">
        <v>3</v>
      </c>
      <c r="Y773" s="7"/>
      <c r="Z773" s="7"/>
      <c r="AA773" s="7"/>
      <c r="AB773" s="7">
        <f t="shared" si="56"/>
        <v>1</v>
      </c>
      <c r="AC773" s="7">
        <f t="shared" si="58"/>
        <v>1</v>
      </c>
      <c r="AD773" s="7"/>
      <c r="AE773" s="7">
        <v>1</v>
      </c>
      <c r="AF773" s="7"/>
      <c r="AG773" s="7" t="s">
        <v>661</v>
      </c>
      <c r="AH773" s="7" t="s">
        <v>38</v>
      </c>
      <c r="AI773" s="7"/>
      <c r="AJ773" s="7"/>
      <c r="AK773" s="7"/>
      <c r="AL773" s="9"/>
      <c r="AM773" s="7" t="s">
        <v>42</v>
      </c>
      <c r="AN773" s="7" t="s">
        <v>42</v>
      </c>
      <c r="AO773" s="15" t="s">
        <v>2571</v>
      </c>
    </row>
    <row r="774" spans="1:41" s="11" customFormat="1" x14ac:dyDescent="0.25">
      <c r="A774" s="2">
        <v>773</v>
      </c>
      <c r="B774" s="7" t="s">
        <v>655</v>
      </c>
      <c r="C774" s="7" t="s">
        <v>50</v>
      </c>
      <c r="D774" s="7">
        <v>22</v>
      </c>
      <c r="E774" s="7">
        <v>22</v>
      </c>
      <c r="F774" s="8">
        <v>1</v>
      </c>
      <c r="G774" s="8">
        <v>1</v>
      </c>
      <c r="H774" s="7">
        <v>1</v>
      </c>
      <c r="I774" s="7">
        <v>1</v>
      </c>
      <c r="J774" s="9" t="s">
        <v>35</v>
      </c>
      <c r="K774" s="7">
        <v>2</v>
      </c>
      <c r="L774" s="7" t="s">
        <v>52</v>
      </c>
      <c r="M774" s="7">
        <f t="shared" si="57"/>
        <v>1</v>
      </c>
      <c r="N774" s="9" t="s">
        <v>34</v>
      </c>
      <c r="O774" s="7">
        <v>0</v>
      </c>
      <c r="P774" s="9" t="s">
        <v>63</v>
      </c>
      <c r="Q774" s="7" t="s">
        <v>38</v>
      </c>
      <c r="R774" s="7" t="s">
        <v>38</v>
      </c>
      <c r="S774" s="10" t="s">
        <v>1514</v>
      </c>
      <c r="T774" s="7"/>
      <c r="U774" s="7"/>
      <c r="V774" s="7"/>
      <c r="W774" s="7"/>
      <c r="X774" s="7"/>
      <c r="Y774" s="7">
        <v>15</v>
      </c>
      <c r="Z774" s="7">
        <v>15</v>
      </c>
      <c r="AA774" s="7">
        <v>80</v>
      </c>
      <c r="AB774" s="7">
        <f t="shared" si="56"/>
        <v>5</v>
      </c>
      <c r="AC774" s="7">
        <f t="shared" si="58"/>
        <v>5</v>
      </c>
      <c r="AD774" s="7"/>
      <c r="AE774" s="7"/>
      <c r="AF774" s="7"/>
      <c r="AG774" s="7"/>
      <c r="AH774" s="7"/>
      <c r="AI774" s="7"/>
      <c r="AJ774" s="7"/>
      <c r="AK774" s="7"/>
      <c r="AL774" s="9"/>
      <c r="AM774" s="7" t="s">
        <v>42</v>
      </c>
      <c r="AN774" s="7" t="s">
        <v>42</v>
      </c>
      <c r="AO774" s="12"/>
    </row>
    <row r="775" spans="1:41" s="11" customFormat="1" ht="24" x14ac:dyDescent="0.25">
      <c r="A775" s="2">
        <v>774</v>
      </c>
      <c r="B775" s="7" t="s">
        <v>655</v>
      </c>
      <c r="C775" s="7" t="s">
        <v>78</v>
      </c>
      <c r="D775" s="7">
        <v>22</v>
      </c>
      <c r="E775" s="7">
        <v>22</v>
      </c>
      <c r="F775" s="8">
        <v>1</v>
      </c>
      <c r="G775" s="8">
        <v>1</v>
      </c>
      <c r="H775" s="7">
        <v>1</v>
      </c>
      <c r="I775" s="7">
        <v>1</v>
      </c>
      <c r="J775" s="9" t="s">
        <v>35</v>
      </c>
      <c r="K775" s="7">
        <v>2</v>
      </c>
      <c r="L775" s="7" t="s">
        <v>52</v>
      </c>
      <c r="M775" s="7">
        <f t="shared" si="57"/>
        <v>1</v>
      </c>
      <c r="N775" s="9" t="s">
        <v>82</v>
      </c>
      <c r="O775" s="7">
        <v>0</v>
      </c>
      <c r="P775" s="9" t="s">
        <v>36</v>
      </c>
      <c r="Q775" s="7" t="s">
        <v>38</v>
      </c>
      <c r="R775" s="7" t="s">
        <v>38</v>
      </c>
      <c r="S775" s="10" t="s">
        <v>1921</v>
      </c>
      <c r="T775" s="7">
        <v>5</v>
      </c>
      <c r="U775" s="7">
        <v>5</v>
      </c>
      <c r="V775" s="7">
        <v>270</v>
      </c>
      <c r="W775" s="7" t="s">
        <v>239</v>
      </c>
      <c r="X775" s="7"/>
      <c r="Y775" s="7"/>
      <c r="Z775" s="7"/>
      <c r="AA775" s="7"/>
      <c r="AB775" s="7">
        <f t="shared" si="56"/>
        <v>1.6666666666666667</v>
      </c>
      <c r="AC775" s="7">
        <f t="shared" si="58"/>
        <v>1.6666666666666667</v>
      </c>
      <c r="AD775" s="7"/>
      <c r="AE775" s="7"/>
      <c r="AF775" s="7"/>
      <c r="AG775" s="7"/>
      <c r="AH775" s="7"/>
      <c r="AI775" s="7"/>
      <c r="AJ775" s="10" t="s">
        <v>778</v>
      </c>
      <c r="AK775" s="7"/>
      <c r="AL775" s="9"/>
      <c r="AM775" s="7" t="s">
        <v>662</v>
      </c>
      <c r="AN775" s="7" t="s">
        <v>662</v>
      </c>
      <c r="AO775" s="12"/>
    </row>
    <row r="776" spans="1:41" s="11" customFormat="1" ht="24" x14ac:dyDescent="0.25">
      <c r="A776" s="2">
        <v>775</v>
      </c>
      <c r="B776" s="7" t="s">
        <v>655</v>
      </c>
      <c r="C776" s="7" t="s">
        <v>78</v>
      </c>
      <c r="D776" s="7">
        <v>4</v>
      </c>
      <c r="E776" s="7">
        <v>4</v>
      </c>
      <c r="F776" s="8">
        <v>1</v>
      </c>
      <c r="G776" s="8">
        <v>1</v>
      </c>
      <c r="H776" s="7">
        <v>1</v>
      </c>
      <c r="I776" s="7">
        <v>1</v>
      </c>
      <c r="J776" s="9" t="s">
        <v>35</v>
      </c>
      <c r="K776" s="7">
        <v>1</v>
      </c>
      <c r="L776" s="7" t="s">
        <v>52</v>
      </c>
      <c r="M776" s="7">
        <f t="shared" si="57"/>
        <v>1</v>
      </c>
      <c r="N776" s="9" t="s">
        <v>36</v>
      </c>
      <c r="O776" s="7">
        <v>0</v>
      </c>
      <c r="P776" s="9" t="s">
        <v>63</v>
      </c>
      <c r="Q776" s="7" t="s">
        <v>38</v>
      </c>
      <c r="R776" s="7" t="s">
        <v>38</v>
      </c>
      <c r="S776" s="10" t="s">
        <v>1922</v>
      </c>
      <c r="T776" s="7">
        <v>10</v>
      </c>
      <c r="U776" s="7">
        <v>10</v>
      </c>
      <c r="V776" s="7">
        <v>80</v>
      </c>
      <c r="W776" s="7" t="s">
        <v>83</v>
      </c>
      <c r="X776" s="7"/>
      <c r="Y776" s="7"/>
      <c r="Z776" s="7"/>
      <c r="AA776" s="7"/>
      <c r="AB776" s="7">
        <f t="shared" si="56"/>
        <v>3.3333333333333335</v>
      </c>
      <c r="AC776" s="7">
        <f t="shared" si="58"/>
        <v>3.3333333333333335</v>
      </c>
      <c r="AD776" s="7"/>
      <c r="AE776" s="7"/>
      <c r="AF776" s="7"/>
      <c r="AG776" s="7"/>
      <c r="AH776" s="7"/>
      <c r="AI776" s="7"/>
      <c r="AJ776" s="7"/>
      <c r="AK776" s="7"/>
      <c r="AL776" s="9"/>
      <c r="AM776" s="7" t="s">
        <v>42</v>
      </c>
      <c r="AN776" s="7" t="s">
        <v>42</v>
      </c>
      <c r="AO776" s="12"/>
    </row>
    <row r="777" spans="1:41" s="11" customFormat="1" ht="24" x14ac:dyDescent="0.25">
      <c r="A777" s="2">
        <v>776</v>
      </c>
      <c r="B777" s="7" t="s">
        <v>655</v>
      </c>
      <c r="C777" s="7" t="s">
        <v>78</v>
      </c>
      <c r="D777" s="7" t="s">
        <v>146</v>
      </c>
      <c r="E777" s="7">
        <v>5</v>
      </c>
      <c r="F777" s="8">
        <v>1</v>
      </c>
      <c r="G777" s="8">
        <v>2</v>
      </c>
      <c r="H777" s="7">
        <v>2</v>
      </c>
      <c r="I777" s="7">
        <v>2</v>
      </c>
      <c r="J777" s="9" t="s">
        <v>35</v>
      </c>
      <c r="K777" s="7">
        <v>2</v>
      </c>
      <c r="L777" s="7" t="s">
        <v>52</v>
      </c>
      <c r="M777" s="7">
        <f t="shared" si="57"/>
        <v>1</v>
      </c>
      <c r="N777" s="9" t="s">
        <v>34</v>
      </c>
      <c r="O777" s="7">
        <v>0</v>
      </c>
      <c r="P777" s="9" t="s">
        <v>37</v>
      </c>
      <c r="Q777" s="7" t="s">
        <v>38</v>
      </c>
      <c r="R777" s="7" t="s">
        <v>38</v>
      </c>
      <c r="S777" s="10" t="s">
        <v>1923</v>
      </c>
      <c r="T777" s="7">
        <v>15</v>
      </c>
      <c r="U777" s="7">
        <v>15</v>
      </c>
      <c r="V777" s="7">
        <v>60</v>
      </c>
      <c r="W777" s="7" t="s">
        <v>83</v>
      </c>
      <c r="X777" s="7"/>
      <c r="Y777" s="7"/>
      <c r="Z777" s="7"/>
      <c r="AA777" s="7"/>
      <c r="AB777" s="7">
        <f t="shared" si="56"/>
        <v>5</v>
      </c>
      <c r="AC777" s="7">
        <f t="shared" si="58"/>
        <v>5</v>
      </c>
      <c r="AD777" s="7"/>
      <c r="AE777" s="7"/>
      <c r="AF777" s="7"/>
      <c r="AG777" s="7"/>
      <c r="AH777" s="7"/>
      <c r="AI777" s="7"/>
      <c r="AJ777" s="7"/>
      <c r="AK777" s="7" t="s">
        <v>663</v>
      </c>
      <c r="AL777" s="9"/>
      <c r="AM777" s="7" t="s">
        <v>42</v>
      </c>
      <c r="AN777" s="7" t="s">
        <v>42</v>
      </c>
      <c r="AO777" s="12"/>
    </row>
    <row r="778" spans="1:41" s="11" customFormat="1" ht="24" x14ac:dyDescent="0.25">
      <c r="A778" s="2">
        <v>777</v>
      </c>
      <c r="B778" s="7" t="s">
        <v>655</v>
      </c>
      <c r="C778" s="7" t="s">
        <v>78</v>
      </c>
      <c r="D778" s="7">
        <v>4</v>
      </c>
      <c r="E778" s="7">
        <v>4</v>
      </c>
      <c r="F778" s="8">
        <v>1</v>
      </c>
      <c r="G778" s="8">
        <v>1</v>
      </c>
      <c r="H778" s="7">
        <v>1</v>
      </c>
      <c r="I778" s="7">
        <v>1</v>
      </c>
      <c r="J778" s="9" t="s">
        <v>35</v>
      </c>
      <c r="K778" s="7">
        <v>1</v>
      </c>
      <c r="L778" s="7" t="s">
        <v>52</v>
      </c>
      <c r="M778" s="7">
        <f t="shared" si="57"/>
        <v>1</v>
      </c>
      <c r="N778" s="9" t="s">
        <v>34</v>
      </c>
      <c r="O778" s="7">
        <v>0</v>
      </c>
      <c r="P778" s="9" t="s">
        <v>33</v>
      </c>
      <c r="Q778" s="7" t="s">
        <v>38</v>
      </c>
      <c r="R778" s="7" t="s">
        <v>38</v>
      </c>
      <c r="S778" s="7"/>
      <c r="T778" s="7">
        <v>5</v>
      </c>
      <c r="U778" s="7">
        <v>5</v>
      </c>
      <c r="V778" s="7">
        <v>90</v>
      </c>
      <c r="W778" s="7" t="s">
        <v>83</v>
      </c>
      <c r="X778" s="7"/>
      <c r="Y778" s="7"/>
      <c r="Z778" s="7"/>
      <c r="AA778" s="7"/>
      <c r="AB778" s="7">
        <f t="shared" si="56"/>
        <v>1.6666666666666667</v>
      </c>
      <c r="AC778" s="7">
        <f t="shared" si="58"/>
        <v>1.6666666666666667</v>
      </c>
      <c r="AD778" s="7"/>
      <c r="AE778" s="7"/>
      <c r="AF778" s="7"/>
      <c r="AG778" s="7"/>
      <c r="AH778" s="7"/>
      <c r="AI778" s="7"/>
      <c r="AJ778" s="7"/>
      <c r="AK778" s="7"/>
      <c r="AL778" s="9"/>
      <c r="AM778" s="7" t="s">
        <v>42</v>
      </c>
      <c r="AN778" s="7" t="s">
        <v>42</v>
      </c>
      <c r="AO778" s="12"/>
    </row>
    <row r="779" spans="1:41" s="11" customFormat="1" ht="24" x14ac:dyDescent="0.25">
      <c r="A779" s="2">
        <v>778</v>
      </c>
      <c r="B779" s="7" t="s">
        <v>655</v>
      </c>
      <c r="C779" s="7" t="s">
        <v>78</v>
      </c>
      <c r="D779" s="7">
        <v>2</v>
      </c>
      <c r="E779" s="7">
        <v>2</v>
      </c>
      <c r="F779" s="8">
        <v>1</v>
      </c>
      <c r="G779" s="8">
        <v>1</v>
      </c>
      <c r="H779" s="7">
        <v>1</v>
      </c>
      <c r="I779" s="7">
        <v>1</v>
      </c>
      <c r="J779" s="9" t="s">
        <v>35</v>
      </c>
      <c r="K779" s="7">
        <v>1</v>
      </c>
      <c r="L779" s="7" t="s">
        <v>52</v>
      </c>
      <c r="M779" s="7">
        <f t="shared" si="57"/>
        <v>1</v>
      </c>
      <c r="N779" s="9" t="s">
        <v>36</v>
      </c>
      <c r="O779" s="7">
        <v>0</v>
      </c>
      <c r="P779" s="9" t="s">
        <v>63</v>
      </c>
      <c r="Q779" s="7" t="s">
        <v>38</v>
      </c>
      <c r="R779" s="7" t="s">
        <v>38</v>
      </c>
      <c r="S779" s="10" t="s">
        <v>1924</v>
      </c>
      <c r="T779" s="7">
        <v>5</v>
      </c>
      <c r="U779" s="7">
        <v>5</v>
      </c>
      <c r="V779" s="7">
        <v>120</v>
      </c>
      <c r="W779" s="7" t="s">
        <v>83</v>
      </c>
      <c r="X779" s="7"/>
      <c r="Y779" s="7"/>
      <c r="Z779" s="7"/>
      <c r="AA779" s="7"/>
      <c r="AB779" s="7">
        <f t="shared" si="56"/>
        <v>1.6666666666666667</v>
      </c>
      <c r="AC779" s="7">
        <f t="shared" si="58"/>
        <v>1.6666666666666667</v>
      </c>
      <c r="AD779" s="7"/>
      <c r="AE779" s="7"/>
      <c r="AF779" s="7"/>
      <c r="AG779" s="7"/>
      <c r="AH779" s="7"/>
      <c r="AI779" s="7"/>
      <c r="AJ779" s="7"/>
      <c r="AK779" s="7"/>
      <c r="AL779" s="9"/>
      <c r="AM779" s="7" t="s">
        <v>42</v>
      </c>
      <c r="AN779" s="7" t="s">
        <v>42</v>
      </c>
      <c r="AO779" s="12"/>
    </row>
    <row r="780" spans="1:41" s="11" customFormat="1" x14ac:dyDescent="0.25">
      <c r="A780" s="2">
        <v>779</v>
      </c>
      <c r="B780" s="7" t="s">
        <v>655</v>
      </c>
      <c r="C780" s="7" t="s">
        <v>119</v>
      </c>
      <c r="D780" s="7">
        <v>9</v>
      </c>
      <c r="E780" s="7">
        <v>9</v>
      </c>
      <c r="F780" s="8">
        <v>1</v>
      </c>
      <c r="G780" s="8">
        <v>1</v>
      </c>
      <c r="H780" s="7">
        <v>1</v>
      </c>
      <c r="I780" s="7">
        <v>1</v>
      </c>
      <c r="J780" s="9" t="s">
        <v>35</v>
      </c>
      <c r="K780" s="7">
        <v>1</v>
      </c>
      <c r="L780" s="7" t="s">
        <v>52</v>
      </c>
      <c r="M780" s="7">
        <f t="shared" si="57"/>
        <v>1</v>
      </c>
      <c r="N780" s="9" t="s">
        <v>36</v>
      </c>
      <c r="O780" s="7">
        <v>0</v>
      </c>
      <c r="P780" s="9" t="s">
        <v>63</v>
      </c>
      <c r="Q780" s="7"/>
      <c r="R780" s="7" t="s">
        <v>38</v>
      </c>
      <c r="S780" s="10" t="s">
        <v>1924</v>
      </c>
      <c r="T780" s="7"/>
      <c r="U780" s="7"/>
      <c r="V780" s="7"/>
      <c r="W780" s="7"/>
      <c r="X780" s="7"/>
      <c r="Y780" s="7"/>
      <c r="Z780" s="7"/>
      <c r="AA780" s="7"/>
      <c r="AB780" s="7">
        <v>0.33333333333333298</v>
      </c>
      <c r="AC780" s="7">
        <f t="shared" si="58"/>
        <v>0.33333333333333298</v>
      </c>
      <c r="AD780" s="7">
        <v>1</v>
      </c>
      <c r="AE780" s="7"/>
      <c r="AF780" s="7" t="s">
        <v>664</v>
      </c>
      <c r="AG780" s="7" t="s">
        <v>120</v>
      </c>
      <c r="AH780" s="7"/>
      <c r="AI780" s="7"/>
      <c r="AJ780" s="7"/>
      <c r="AK780" s="7"/>
      <c r="AL780" s="9"/>
      <c r="AM780" s="7" t="s">
        <v>71</v>
      </c>
      <c r="AN780" s="7" t="s">
        <v>71</v>
      </c>
      <c r="AO780" s="12"/>
    </row>
    <row r="781" spans="1:41" s="11" customFormat="1" x14ac:dyDescent="0.25">
      <c r="A781" s="2">
        <v>780</v>
      </c>
      <c r="B781" s="7" t="s">
        <v>655</v>
      </c>
      <c r="C781" s="7" t="s">
        <v>100</v>
      </c>
      <c r="D781" s="7">
        <v>14</v>
      </c>
      <c r="E781" s="7">
        <v>14</v>
      </c>
      <c r="F781" s="8">
        <v>1</v>
      </c>
      <c r="G781" s="8">
        <v>1</v>
      </c>
      <c r="H781" s="7">
        <v>1</v>
      </c>
      <c r="I781" s="7">
        <v>1</v>
      </c>
      <c r="J781" s="9" t="s">
        <v>35</v>
      </c>
      <c r="K781" s="7">
        <v>2</v>
      </c>
      <c r="L781" s="7" t="s">
        <v>52</v>
      </c>
      <c r="M781" s="7">
        <f t="shared" si="57"/>
        <v>1</v>
      </c>
      <c r="N781" s="9" t="s">
        <v>34</v>
      </c>
      <c r="O781" s="7">
        <v>1</v>
      </c>
      <c r="P781" s="9" t="s">
        <v>37</v>
      </c>
      <c r="Q781" s="7" t="s">
        <v>38</v>
      </c>
      <c r="R781" s="7" t="s">
        <v>38</v>
      </c>
      <c r="S781" s="10" t="s">
        <v>1740</v>
      </c>
      <c r="T781" s="7"/>
      <c r="U781" s="7"/>
      <c r="V781" s="7"/>
      <c r="W781" s="7"/>
      <c r="X781" s="7">
        <v>3</v>
      </c>
      <c r="Y781" s="7"/>
      <c r="Z781" s="7"/>
      <c r="AA781" s="7"/>
      <c r="AB781" s="7">
        <f t="shared" ref="AB781:AB788" si="59">(U781+X781+Z781)/3</f>
        <v>1</v>
      </c>
      <c r="AC781" s="7">
        <f t="shared" si="58"/>
        <v>1</v>
      </c>
      <c r="AD781" s="7"/>
      <c r="AE781" s="7">
        <v>1</v>
      </c>
      <c r="AF781" s="7" t="s">
        <v>664</v>
      </c>
      <c r="AG781" s="7" t="s">
        <v>395</v>
      </c>
      <c r="AH781" s="7"/>
      <c r="AI781" s="7"/>
      <c r="AJ781" s="7"/>
      <c r="AK781" s="10" t="s">
        <v>2456</v>
      </c>
      <c r="AL781" s="9"/>
      <c r="AM781" s="7" t="s">
        <v>71</v>
      </c>
      <c r="AN781" s="7" t="s">
        <v>71</v>
      </c>
      <c r="AO781" s="12"/>
    </row>
    <row r="782" spans="1:41" s="11" customFormat="1" ht="24" x14ac:dyDescent="0.25">
      <c r="A782" s="2">
        <v>781</v>
      </c>
      <c r="B782" s="7" t="s">
        <v>655</v>
      </c>
      <c r="C782" s="7" t="s">
        <v>89</v>
      </c>
      <c r="D782" s="7" t="s">
        <v>665</v>
      </c>
      <c r="E782" s="7">
        <f>12+7+24+8+12+12+10</f>
        <v>85</v>
      </c>
      <c r="F782" s="8">
        <v>13</v>
      </c>
      <c r="G782" s="8">
        <v>27</v>
      </c>
      <c r="H782" s="7" t="s">
        <v>667</v>
      </c>
      <c r="I782" s="7">
        <v>27</v>
      </c>
      <c r="J782" s="9" t="s">
        <v>35</v>
      </c>
      <c r="K782" s="7"/>
      <c r="L782" s="7" t="s">
        <v>52</v>
      </c>
      <c r="M782" s="7">
        <f t="shared" si="57"/>
        <v>13</v>
      </c>
      <c r="N782" s="9"/>
      <c r="O782" s="7"/>
      <c r="P782" s="9"/>
      <c r="Q782" s="7"/>
      <c r="R782" s="7"/>
      <c r="S782" s="7"/>
      <c r="T782" s="7"/>
      <c r="U782" s="7"/>
      <c r="V782" s="7"/>
      <c r="W782" s="7"/>
      <c r="X782" s="7">
        <v>3</v>
      </c>
      <c r="Y782" s="7"/>
      <c r="Z782" s="7"/>
      <c r="AA782" s="7"/>
      <c r="AB782" s="7">
        <f t="shared" si="59"/>
        <v>1</v>
      </c>
      <c r="AC782" s="7">
        <f t="shared" si="58"/>
        <v>1</v>
      </c>
      <c r="AD782" s="7"/>
      <c r="AE782" s="7"/>
      <c r="AF782" s="7"/>
      <c r="AG782" s="7"/>
      <c r="AH782" s="7"/>
      <c r="AI782" s="7"/>
      <c r="AJ782" s="7"/>
      <c r="AK782" s="7"/>
      <c r="AL782" s="9"/>
      <c r="AM782" s="7" t="s">
        <v>71</v>
      </c>
      <c r="AN782" s="7" t="s">
        <v>71</v>
      </c>
      <c r="AO782" s="12"/>
    </row>
    <row r="783" spans="1:41" s="11" customFormat="1" x14ac:dyDescent="0.25">
      <c r="A783" s="2">
        <v>782</v>
      </c>
      <c r="B783" s="7" t="s">
        <v>655</v>
      </c>
      <c r="C783" s="7" t="s">
        <v>100</v>
      </c>
      <c r="D783" s="7">
        <v>23</v>
      </c>
      <c r="E783" s="7">
        <v>23</v>
      </c>
      <c r="F783" s="8">
        <v>1</v>
      </c>
      <c r="G783" s="8">
        <v>1</v>
      </c>
      <c r="H783" s="7">
        <v>1</v>
      </c>
      <c r="I783" s="7">
        <v>1</v>
      </c>
      <c r="J783" s="9" t="s">
        <v>77</v>
      </c>
      <c r="K783" s="7">
        <v>1</v>
      </c>
      <c r="L783" s="7" t="s">
        <v>38</v>
      </c>
      <c r="M783" s="7">
        <f t="shared" si="57"/>
        <v>0</v>
      </c>
      <c r="N783" s="9" t="s">
        <v>36</v>
      </c>
      <c r="O783" s="7">
        <v>0</v>
      </c>
      <c r="P783" s="9" t="s">
        <v>33</v>
      </c>
      <c r="Q783" s="7" t="s">
        <v>38</v>
      </c>
      <c r="R783" s="7" t="s">
        <v>38</v>
      </c>
      <c r="S783" s="10" t="s">
        <v>1924</v>
      </c>
      <c r="T783" s="7"/>
      <c r="U783" s="7"/>
      <c r="V783" s="7"/>
      <c r="W783" s="7"/>
      <c r="X783" s="7">
        <v>10</v>
      </c>
      <c r="Y783" s="7"/>
      <c r="Z783" s="7"/>
      <c r="AA783" s="7"/>
      <c r="AB783" s="7">
        <f t="shared" si="59"/>
        <v>3.3333333333333335</v>
      </c>
      <c r="AC783" s="7">
        <f t="shared" si="58"/>
        <v>0</v>
      </c>
      <c r="AD783" s="7"/>
      <c r="AE783" s="7"/>
      <c r="AF783" s="7"/>
      <c r="AG783" s="7"/>
      <c r="AH783" s="7"/>
      <c r="AI783" s="7"/>
      <c r="AJ783" s="7"/>
      <c r="AK783" s="7"/>
      <c r="AL783" s="9"/>
      <c r="AM783" s="7" t="s">
        <v>42</v>
      </c>
      <c r="AN783" s="7" t="s">
        <v>42</v>
      </c>
      <c r="AO783" s="12" t="s">
        <v>668</v>
      </c>
    </row>
    <row r="784" spans="1:41" s="11" customFormat="1" x14ac:dyDescent="0.25">
      <c r="A784" s="2">
        <v>783</v>
      </c>
      <c r="B784" s="7" t="s">
        <v>655</v>
      </c>
      <c r="C784" s="7" t="s">
        <v>119</v>
      </c>
      <c r="D784" s="7">
        <v>11</v>
      </c>
      <c r="E784" s="7">
        <v>11</v>
      </c>
      <c r="F784" s="8">
        <v>1</v>
      </c>
      <c r="G784" s="8">
        <v>1</v>
      </c>
      <c r="H784" s="7">
        <v>1</v>
      </c>
      <c r="I784" s="7">
        <v>1</v>
      </c>
      <c r="J784" s="9" t="s">
        <v>77</v>
      </c>
      <c r="K784" s="7">
        <v>1</v>
      </c>
      <c r="L784" s="7" t="s">
        <v>38</v>
      </c>
      <c r="M784" s="7">
        <f t="shared" si="57"/>
        <v>0</v>
      </c>
      <c r="N784" s="9" t="s">
        <v>36</v>
      </c>
      <c r="O784" s="7">
        <v>0</v>
      </c>
      <c r="P784" s="9" t="s">
        <v>33</v>
      </c>
      <c r="Q784" s="7" t="s">
        <v>38</v>
      </c>
      <c r="R784" s="7" t="s">
        <v>38</v>
      </c>
      <c r="S784" s="10" t="s">
        <v>1910</v>
      </c>
      <c r="T784" s="7"/>
      <c r="U784" s="7"/>
      <c r="V784" s="7"/>
      <c r="W784" s="7"/>
      <c r="X784" s="7">
        <v>3</v>
      </c>
      <c r="Y784" s="7"/>
      <c r="Z784" s="7"/>
      <c r="AA784" s="7"/>
      <c r="AB784" s="7">
        <f t="shared" si="59"/>
        <v>1</v>
      </c>
      <c r="AC784" s="7">
        <f t="shared" si="58"/>
        <v>0</v>
      </c>
      <c r="AD784" s="7">
        <v>1</v>
      </c>
      <c r="AE784" s="7"/>
      <c r="AF784" s="7" t="s">
        <v>40</v>
      </c>
      <c r="AG784" s="7" t="s">
        <v>120</v>
      </c>
      <c r="AH784" s="7"/>
      <c r="AI784" s="7"/>
      <c r="AJ784" s="7"/>
      <c r="AK784" s="7"/>
      <c r="AL784" s="9"/>
      <c r="AM784" s="7" t="s">
        <v>42</v>
      </c>
      <c r="AN784" s="7" t="s">
        <v>42</v>
      </c>
      <c r="AO784" s="12"/>
    </row>
    <row r="785" spans="1:41" s="11" customFormat="1" x14ac:dyDescent="0.25">
      <c r="A785" s="2">
        <v>784</v>
      </c>
      <c r="B785" s="7" t="s">
        <v>655</v>
      </c>
      <c r="C785" s="7" t="s">
        <v>119</v>
      </c>
      <c r="D785" s="7">
        <v>14</v>
      </c>
      <c r="E785" s="7">
        <v>14</v>
      </c>
      <c r="F785" s="8">
        <v>1</v>
      </c>
      <c r="G785" s="8">
        <v>1</v>
      </c>
      <c r="H785" s="7">
        <v>1</v>
      </c>
      <c r="I785" s="7">
        <v>1</v>
      </c>
      <c r="J785" s="9" t="s">
        <v>77</v>
      </c>
      <c r="K785" s="7">
        <v>1</v>
      </c>
      <c r="L785" s="7" t="s">
        <v>38</v>
      </c>
      <c r="M785" s="7">
        <f t="shared" si="57"/>
        <v>0</v>
      </c>
      <c r="N785" s="9" t="s">
        <v>36</v>
      </c>
      <c r="O785" s="7">
        <v>0</v>
      </c>
      <c r="P785" s="9" t="s">
        <v>63</v>
      </c>
      <c r="Q785" s="7" t="s">
        <v>38</v>
      </c>
      <c r="R785" s="7" t="s">
        <v>38</v>
      </c>
      <c r="S785" s="10" t="s">
        <v>1925</v>
      </c>
      <c r="T785" s="7"/>
      <c r="U785" s="7"/>
      <c r="V785" s="7"/>
      <c r="W785" s="7"/>
      <c r="X785" s="7">
        <v>3</v>
      </c>
      <c r="Y785" s="7"/>
      <c r="Z785" s="7"/>
      <c r="AA785" s="7"/>
      <c r="AB785" s="7">
        <f t="shared" si="59"/>
        <v>1</v>
      </c>
      <c r="AC785" s="7">
        <f t="shared" si="58"/>
        <v>0</v>
      </c>
      <c r="AD785" s="7">
        <v>1</v>
      </c>
      <c r="AE785" s="7">
        <v>1</v>
      </c>
      <c r="AF785" s="7" t="s">
        <v>40</v>
      </c>
      <c r="AG785" s="7" t="s">
        <v>138</v>
      </c>
      <c r="AH785" s="7"/>
      <c r="AI785" s="7"/>
      <c r="AJ785" s="7"/>
      <c r="AK785" s="7"/>
      <c r="AL785" s="9"/>
      <c r="AM785" s="7" t="s">
        <v>42</v>
      </c>
      <c r="AN785" s="7" t="s">
        <v>42</v>
      </c>
      <c r="AO785" s="12"/>
    </row>
    <row r="786" spans="1:41" s="11" customFormat="1" x14ac:dyDescent="0.25">
      <c r="A786" s="2">
        <v>785</v>
      </c>
      <c r="B786" s="7" t="s">
        <v>655</v>
      </c>
      <c r="C786" s="7" t="s">
        <v>100</v>
      </c>
      <c r="D786" s="7">
        <v>7</v>
      </c>
      <c r="E786" s="7">
        <v>7</v>
      </c>
      <c r="F786" s="8">
        <v>1</v>
      </c>
      <c r="G786" s="8">
        <v>1</v>
      </c>
      <c r="H786" s="7">
        <v>1</v>
      </c>
      <c r="I786" s="7">
        <v>1</v>
      </c>
      <c r="J786" s="9" t="s">
        <v>77</v>
      </c>
      <c r="K786" s="7">
        <v>2</v>
      </c>
      <c r="L786" s="7" t="s">
        <v>38</v>
      </c>
      <c r="M786" s="7">
        <f t="shared" si="57"/>
        <v>0</v>
      </c>
      <c r="N786" s="9" t="s">
        <v>34</v>
      </c>
      <c r="O786" s="7">
        <v>0</v>
      </c>
      <c r="P786" s="9" t="s">
        <v>63</v>
      </c>
      <c r="Q786" s="7" t="s">
        <v>38</v>
      </c>
      <c r="R786" s="7" t="s">
        <v>38</v>
      </c>
      <c r="S786" s="7"/>
      <c r="T786" s="7"/>
      <c r="U786" s="7"/>
      <c r="V786" s="7"/>
      <c r="W786" s="7"/>
      <c r="X786" s="7">
        <v>3</v>
      </c>
      <c r="Y786" s="7"/>
      <c r="Z786" s="7"/>
      <c r="AA786" s="7"/>
      <c r="AB786" s="7">
        <f t="shared" si="59"/>
        <v>1</v>
      </c>
      <c r="AC786" s="7">
        <f t="shared" si="58"/>
        <v>0</v>
      </c>
      <c r="AD786" s="7"/>
      <c r="AE786" s="7"/>
      <c r="AF786" s="7"/>
      <c r="AG786" s="7"/>
      <c r="AH786" s="7"/>
      <c r="AI786" s="7"/>
      <c r="AJ786" s="7"/>
      <c r="AK786" s="10" t="s">
        <v>2457</v>
      </c>
      <c r="AL786" s="9"/>
      <c r="AM786" s="7" t="s">
        <v>71</v>
      </c>
      <c r="AN786" s="7" t="s">
        <v>71</v>
      </c>
      <c r="AO786" s="12"/>
    </row>
    <row r="787" spans="1:41" s="11" customFormat="1" x14ac:dyDescent="0.25">
      <c r="A787" s="2">
        <v>786</v>
      </c>
      <c r="B787" s="7" t="s">
        <v>655</v>
      </c>
      <c r="C787" s="7" t="s">
        <v>100</v>
      </c>
      <c r="D787" s="7">
        <v>7</v>
      </c>
      <c r="E787" s="7">
        <v>7</v>
      </c>
      <c r="F787" s="8">
        <v>1</v>
      </c>
      <c r="G787" s="8">
        <v>1</v>
      </c>
      <c r="H787" s="7">
        <v>1</v>
      </c>
      <c r="I787" s="7">
        <v>1</v>
      </c>
      <c r="J787" s="9" t="s">
        <v>35</v>
      </c>
      <c r="K787" s="7">
        <v>2</v>
      </c>
      <c r="L787" s="7" t="s">
        <v>52</v>
      </c>
      <c r="M787" s="7">
        <f t="shared" si="57"/>
        <v>1</v>
      </c>
      <c r="N787" s="9" t="s">
        <v>34</v>
      </c>
      <c r="O787" s="7">
        <v>1</v>
      </c>
      <c r="P787" s="9" t="s">
        <v>33</v>
      </c>
      <c r="Q787" s="7" t="s">
        <v>38</v>
      </c>
      <c r="R787" s="7" t="s">
        <v>38</v>
      </c>
      <c r="S787" s="7"/>
      <c r="T787" s="7"/>
      <c r="U787" s="7"/>
      <c r="V787" s="7"/>
      <c r="W787" s="7"/>
      <c r="X787" s="7">
        <v>3</v>
      </c>
      <c r="Y787" s="7"/>
      <c r="Z787" s="7"/>
      <c r="AA787" s="7"/>
      <c r="AB787" s="7">
        <f t="shared" si="59"/>
        <v>1</v>
      </c>
      <c r="AC787" s="7">
        <f t="shared" si="58"/>
        <v>1</v>
      </c>
      <c r="AD787" s="7"/>
      <c r="AE787" s="7"/>
      <c r="AF787" s="7"/>
      <c r="AG787" s="7"/>
      <c r="AH787" s="7"/>
      <c r="AI787" s="7"/>
      <c r="AJ787" s="7"/>
      <c r="AK787" s="7"/>
      <c r="AL787" s="9"/>
      <c r="AM787" s="7" t="s">
        <v>71</v>
      </c>
      <c r="AN787" s="7" t="s">
        <v>71</v>
      </c>
      <c r="AO787" s="12"/>
    </row>
    <row r="788" spans="1:41" s="11" customFormat="1" ht="24" x14ac:dyDescent="0.25">
      <c r="A788" s="2">
        <v>787</v>
      </c>
      <c r="B788" s="7" t="s">
        <v>655</v>
      </c>
      <c r="C788" s="7" t="s">
        <v>78</v>
      </c>
      <c r="D788" s="7">
        <v>1</v>
      </c>
      <c r="E788" s="7">
        <v>1</v>
      </c>
      <c r="F788" s="8">
        <v>1</v>
      </c>
      <c r="G788" s="8">
        <v>1</v>
      </c>
      <c r="H788" s="7">
        <v>1</v>
      </c>
      <c r="I788" s="7">
        <v>1</v>
      </c>
      <c r="J788" s="9" t="s">
        <v>35</v>
      </c>
      <c r="K788" s="7">
        <v>1</v>
      </c>
      <c r="L788" s="7" t="s">
        <v>52</v>
      </c>
      <c r="M788" s="7">
        <f t="shared" si="57"/>
        <v>1</v>
      </c>
      <c r="N788" s="9" t="s">
        <v>34</v>
      </c>
      <c r="O788" s="7">
        <v>0</v>
      </c>
      <c r="P788" s="9" t="s">
        <v>37</v>
      </c>
      <c r="Q788" s="7" t="s">
        <v>38</v>
      </c>
      <c r="R788" s="7" t="s">
        <v>38</v>
      </c>
      <c r="S788" s="10" t="s">
        <v>1546</v>
      </c>
      <c r="T788" s="7">
        <v>5</v>
      </c>
      <c r="U788" s="7">
        <v>5</v>
      </c>
      <c r="V788" s="7">
        <v>100</v>
      </c>
      <c r="W788" s="7" t="s">
        <v>83</v>
      </c>
      <c r="X788" s="7"/>
      <c r="Y788" s="7"/>
      <c r="Z788" s="7"/>
      <c r="AA788" s="7"/>
      <c r="AB788" s="7">
        <f t="shared" si="59"/>
        <v>1.6666666666666667</v>
      </c>
      <c r="AC788" s="7">
        <f t="shared" si="58"/>
        <v>1.6666666666666667</v>
      </c>
      <c r="AD788" s="7"/>
      <c r="AE788" s="7"/>
      <c r="AF788" s="7"/>
      <c r="AG788" s="7"/>
      <c r="AH788" s="7"/>
      <c r="AI788" s="7"/>
      <c r="AJ788" s="7"/>
      <c r="AK788" s="7"/>
      <c r="AL788" s="9"/>
      <c r="AM788" s="7" t="s">
        <v>71</v>
      </c>
      <c r="AN788" s="7" t="s">
        <v>71</v>
      </c>
      <c r="AO788" s="12"/>
    </row>
    <row r="789" spans="1:41" s="11" customFormat="1" x14ac:dyDescent="0.25">
      <c r="A789" s="2">
        <v>788</v>
      </c>
      <c r="B789" s="7" t="s">
        <v>655</v>
      </c>
      <c r="C789" s="7" t="s">
        <v>115</v>
      </c>
      <c r="D789" s="7" t="s">
        <v>263</v>
      </c>
      <c r="E789" s="7">
        <v>8</v>
      </c>
      <c r="F789" s="8">
        <v>3</v>
      </c>
      <c r="G789" s="8">
        <v>3</v>
      </c>
      <c r="H789" s="7" t="s">
        <v>97</v>
      </c>
      <c r="I789" s="7">
        <v>3</v>
      </c>
      <c r="J789" s="9" t="s">
        <v>70</v>
      </c>
      <c r="K789" s="7">
        <v>1</v>
      </c>
      <c r="L789" s="7" t="s">
        <v>52</v>
      </c>
      <c r="M789" s="7">
        <f t="shared" si="57"/>
        <v>3</v>
      </c>
      <c r="N789" s="9"/>
      <c r="O789" s="7"/>
      <c r="P789" s="9"/>
      <c r="Q789" s="7"/>
      <c r="R789" s="7"/>
      <c r="S789" s="7"/>
      <c r="T789" s="7"/>
      <c r="U789" s="7"/>
      <c r="V789" s="7"/>
      <c r="W789" s="7"/>
      <c r="X789" s="7"/>
      <c r="Y789" s="7"/>
      <c r="Z789" s="7"/>
      <c r="AA789" s="7"/>
      <c r="AB789" s="7">
        <v>0.33333333333333298</v>
      </c>
      <c r="AC789" s="7">
        <f t="shared" si="58"/>
        <v>0.33333333333333298</v>
      </c>
      <c r="AD789" s="7">
        <v>3</v>
      </c>
      <c r="AE789" s="7"/>
      <c r="AF789" s="7" t="s">
        <v>40</v>
      </c>
      <c r="AG789" s="7"/>
      <c r="AH789" s="7"/>
      <c r="AI789" s="7"/>
      <c r="AJ789" s="7"/>
      <c r="AK789" s="7"/>
      <c r="AL789" s="9"/>
      <c r="AM789" s="7" t="s">
        <v>71</v>
      </c>
      <c r="AN789" s="7" t="s">
        <v>71</v>
      </c>
      <c r="AO789" s="12"/>
    </row>
    <row r="790" spans="1:41" s="11" customFormat="1" x14ac:dyDescent="0.25">
      <c r="A790" s="2">
        <v>789</v>
      </c>
      <c r="B790" s="7" t="s">
        <v>655</v>
      </c>
      <c r="C790" s="7" t="s">
        <v>78</v>
      </c>
      <c r="D790" s="7">
        <v>6</v>
      </c>
      <c r="E790" s="7">
        <v>6</v>
      </c>
      <c r="F790" s="8">
        <v>1</v>
      </c>
      <c r="G790" s="8">
        <v>1</v>
      </c>
      <c r="H790" s="7">
        <v>1</v>
      </c>
      <c r="I790" s="7">
        <v>1</v>
      </c>
      <c r="J790" s="9" t="s">
        <v>290</v>
      </c>
      <c r="K790" s="7"/>
      <c r="L790" s="7" t="s">
        <v>38</v>
      </c>
      <c r="M790" s="7">
        <f t="shared" si="57"/>
        <v>0</v>
      </c>
      <c r="N790" s="9" t="s">
        <v>666</v>
      </c>
      <c r="O790" s="7">
        <v>0</v>
      </c>
      <c r="P790" s="9" t="s">
        <v>63</v>
      </c>
      <c r="Q790" s="7" t="s">
        <v>38</v>
      </c>
      <c r="R790" s="7" t="s">
        <v>38</v>
      </c>
      <c r="S790" s="10" t="s">
        <v>1926</v>
      </c>
      <c r="T790" s="7">
        <v>10</v>
      </c>
      <c r="U790" s="7">
        <v>10</v>
      </c>
      <c r="V790" s="7">
        <v>90</v>
      </c>
      <c r="W790" s="7" t="s">
        <v>88</v>
      </c>
      <c r="X790" s="7"/>
      <c r="Y790" s="7"/>
      <c r="Z790" s="7"/>
      <c r="AA790" s="7"/>
      <c r="AB790" s="7">
        <f t="shared" ref="AB790:AB804" si="60">(U790+X790+Z790)/3</f>
        <v>3.3333333333333335</v>
      </c>
      <c r="AC790" s="7">
        <f t="shared" si="58"/>
        <v>0</v>
      </c>
      <c r="AD790" s="7"/>
      <c r="AE790" s="7"/>
      <c r="AF790" s="7"/>
      <c r="AG790" s="7"/>
      <c r="AH790" s="7"/>
      <c r="AI790" s="7"/>
      <c r="AJ790" s="7"/>
      <c r="AK790" s="7"/>
      <c r="AL790" s="9"/>
      <c r="AM790" s="7" t="s">
        <v>42</v>
      </c>
      <c r="AN790" s="7" t="s">
        <v>42</v>
      </c>
      <c r="AO790" s="12"/>
    </row>
    <row r="791" spans="1:41" s="11" customFormat="1" x14ac:dyDescent="0.25">
      <c r="A791" s="2">
        <v>790</v>
      </c>
      <c r="B791" s="7" t="s">
        <v>655</v>
      </c>
      <c r="C791" s="7" t="s">
        <v>100</v>
      </c>
      <c r="D791" s="7">
        <v>23</v>
      </c>
      <c r="E791" s="7">
        <v>23</v>
      </c>
      <c r="F791" s="8">
        <v>1</v>
      </c>
      <c r="G791" s="8">
        <v>1</v>
      </c>
      <c r="H791" s="7">
        <v>1</v>
      </c>
      <c r="I791" s="7">
        <v>1</v>
      </c>
      <c r="J791" s="9" t="s">
        <v>35</v>
      </c>
      <c r="K791" s="7">
        <v>2</v>
      </c>
      <c r="L791" s="7" t="s">
        <v>52</v>
      </c>
      <c r="M791" s="7">
        <f t="shared" si="57"/>
        <v>1</v>
      </c>
      <c r="N791" s="9" t="s">
        <v>37</v>
      </c>
      <c r="O791" s="7">
        <v>0</v>
      </c>
      <c r="P791" s="9" t="s">
        <v>63</v>
      </c>
      <c r="Q791" s="7" t="s">
        <v>52</v>
      </c>
      <c r="R791" s="7" t="s">
        <v>38</v>
      </c>
      <c r="S791" s="10" t="s">
        <v>1927</v>
      </c>
      <c r="T791" s="7"/>
      <c r="U791" s="7"/>
      <c r="V791" s="7"/>
      <c r="W791" s="7"/>
      <c r="X791" s="7">
        <v>3</v>
      </c>
      <c r="Y791" s="7"/>
      <c r="Z791" s="7"/>
      <c r="AA791" s="7"/>
      <c r="AB791" s="7">
        <f t="shared" si="60"/>
        <v>1</v>
      </c>
      <c r="AC791" s="7">
        <f t="shared" si="58"/>
        <v>1</v>
      </c>
      <c r="AD791" s="7"/>
      <c r="AE791" s="7">
        <v>1</v>
      </c>
      <c r="AF791" s="7" t="s">
        <v>669</v>
      </c>
      <c r="AG791" s="7" t="s">
        <v>670</v>
      </c>
      <c r="AH791" s="7"/>
      <c r="AI791" s="7"/>
      <c r="AJ791" s="10" t="s">
        <v>2363</v>
      </c>
      <c r="AK791" s="7"/>
      <c r="AL791" s="9"/>
      <c r="AM791" s="7" t="s">
        <v>67</v>
      </c>
      <c r="AN791" s="7" t="s">
        <v>2847</v>
      </c>
      <c r="AO791" s="12"/>
    </row>
    <row r="792" spans="1:41" s="11" customFormat="1" x14ac:dyDescent="0.25">
      <c r="A792" s="2">
        <v>791</v>
      </c>
      <c r="B792" s="7" t="s">
        <v>655</v>
      </c>
      <c r="C792" s="7" t="s">
        <v>89</v>
      </c>
      <c r="D792" s="7" t="s">
        <v>671</v>
      </c>
      <c r="E792" s="7">
        <f>15+18+8+5+6</f>
        <v>52</v>
      </c>
      <c r="F792" s="8">
        <v>5</v>
      </c>
      <c r="G792" s="8">
        <v>8</v>
      </c>
      <c r="H792" s="7" t="s">
        <v>672</v>
      </c>
      <c r="I792" s="7">
        <v>8</v>
      </c>
      <c r="J792" s="9" t="s">
        <v>35</v>
      </c>
      <c r="K792" s="7">
        <v>2</v>
      </c>
      <c r="L792" s="7" t="s">
        <v>52</v>
      </c>
      <c r="M792" s="7">
        <f t="shared" si="57"/>
        <v>5</v>
      </c>
      <c r="N792" s="9"/>
      <c r="O792" s="7"/>
      <c r="P792" s="9"/>
      <c r="Q792" s="7" t="s">
        <v>52</v>
      </c>
      <c r="R792" s="7" t="s">
        <v>38</v>
      </c>
      <c r="S792" s="7"/>
      <c r="T792" s="7"/>
      <c r="U792" s="7"/>
      <c r="V792" s="7"/>
      <c r="W792" s="7"/>
      <c r="X792" s="7">
        <v>3</v>
      </c>
      <c r="Y792" s="7"/>
      <c r="Z792" s="7"/>
      <c r="AA792" s="7"/>
      <c r="AB792" s="7">
        <f t="shared" si="60"/>
        <v>1</v>
      </c>
      <c r="AC792" s="7">
        <f t="shared" si="58"/>
        <v>1</v>
      </c>
      <c r="AD792" s="7"/>
      <c r="AE792" s="7"/>
      <c r="AF792" s="7"/>
      <c r="AG792" s="7"/>
      <c r="AH792" s="7"/>
      <c r="AI792" s="7"/>
      <c r="AJ792" s="10" t="s">
        <v>2363</v>
      </c>
      <c r="AK792" s="7"/>
      <c r="AL792" s="9"/>
      <c r="AM792" s="7" t="s">
        <v>71</v>
      </c>
      <c r="AN792" s="7" t="s">
        <v>71</v>
      </c>
      <c r="AO792" s="7"/>
    </row>
    <row r="793" spans="1:41" s="11" customFormat="1" x14ac:dyDescent="0.25">
      <c r="A793" s="2">
        <v>792</v>
      </c>
      <c r="B793" s="7" t="s">
        <v>655</v>
      </c>
      <c r="C793" s="7" t="s">
        <v>100</v>
      </c>
      <c r="D793" s="7">
        <v>6</v>
      </c>
      <c r="E793" s="7">
        <v>6</v>
      </c>
      <c r="F793" s="8">
        <v>1</v>
      </c>
      <c r="G793" s="8">
        <v>1</v>
      </c>
      <c r="H793" s="7">
        <v>1</v>
      </c>
      <c r="I793" s="7">
        <v>1</v>
      </c>
      <c r="J793" s="9" t="s">
        <v>176</v>
      </c>
      <c r="K793" s="7">
        <v>10</v>
      </c>
      <c r="L793" s="7" t="s">
        <v>52</v>
      </c>
      <c r="M793" s="7">
        <f t="shared" si="57"/>
        <v>1</v>
      </c>
      <c r="N793" s="9" t="s">
        <v>177</v>
      </c>
      <c r="O793" s="7">
        <v>0</v>
      </c>
      <c r="P793" s="9" t="s">
        <v>63</v>
      </c>
      <c r="Q793" s="7" t="s">
        <v>38</v>
      </c>
      <c r="R793" s="7" t="s">
        <v>52</v>
      </c>
      <c r="S793" s="10" t="s">
        <v>1614</v>
      </c>
      <c r="T793" s="7"/>
      <c r="U793" s="7"/>
      <c r="V793" s="7"/>
      <c r="W793" s="7"/>
      <c r="X793" s="7">
        <v>3</v>
      </c>
      <c r="Y793" s="7"/>
      <c r="Z793" s="7"/>
      <c r="AA793" s="7"/>
      <c r="AB793" s="7">
        <f t="shared" si="60"/>
        <v>1</v>
      </c>
      <c r="AC793" s="7">
        <f t="shared" si="58"/>
        <v>1</v>
      </c>
      <c r="AD793" s="7"/>
      <c r="AE793" s="7"/>
      <c r="AF793" s="7"/>
      <c r="AG793" s="7"/>
      <c r="AH793" s="7"/>
      <c r="AI793" s="7"/>
      <c r="AJ793" s="7"/>
      <c r="AK793" s="7"/>
      <c r="AL793" s="9"/>
      <c r="AM793" s="7" t="s">
        <v>71</v>
      </c>
      <c r="AN793" s="7" t="s">
        <v>71</v>
      </c>
      <c r="AO793" s="12"/>
    </row>
    <row r="794" spans="1:41" s="11" customFormat="1" ht="24" x14ac:dyDescent="0.25">
      <c r="A794" s="2">
        <v>793</v>
      </c>
      <c r="B794" s="7" t="s">
        <v>655</v>
      </c>
      <c r="C794" s="7" t="s">
        <v>269</v>
      </c>
      <c r="D794" s="7" t="s">
        <v>146</v>
      </c>
      <c r="E794" s="7">
        <v>5</v>
      </c>
      <c r="F794" s="8">
        <v>1</v>
      </c>
      <c r="G794" s="8">
        <v>2</v>
      </c>
      <c r="H794" s="7" t="s">
        <v>87</v>
      </c>
      <c r="I794" s="7">
        <v>2</v>
      </c>
      <c r="J794" s="9" t="s">
        <v>176</v>
      </c>
      <c r="K794" s="7">
        <v>1</v>
      </c>
      <c r="L794" s="7" t="s">
        <v>52</v>
      </c>
      <c r="M794" s="7">
        <f t="shared" si="57"/>
        <v>1</v>
      </c>
      <c r="N794" s="9" t="s">
        <v>177</v>
      </c>
      <c r="O794" s="7">
        <v>0</v>
      </c>
      <c r="P794" s="9" t="s">
        <v>63</v>
      </c>
      <c r="Q794" s="7" t="s">
        <v>38</v>
      </c>
      <c r="R794" s="7" t="s">
        <v>38</v>
      </c>
      <c r="S794" s="10" t="s">
        <v>1928</v>
      </c>
      <c r="T794" s="7">
        <v>5</v>
      </c>
      <c r="U794" s="7">
        <v>5</v>
      </c>
      <c r="V794" s="7">
        <v>120</v>
      </c>
      <c r="W794" s="7" t="s">
        <v>673</v>
      </c>
      <c r="X794" s="7">
        <v>3</v>
      </c>
      <c r="Y794" s="7"/>
      <c r="Z794" s="7"/>
      <c r="AA794" s="7"/>
      <c r="AB794" s="7">
        <f t="shared" si="60"/>
        <v>2.6666666666666665</v>
      </c>
      <c r="AC794" s="7">
        <f t="shared" si="58"/>
        <v>2.6666666666666665</v>
      </c>
      <c r="AD794" s="7"/>
      <c r="AE794" s="7"/>
      <c r="AF794" s="7"/>
      <c r="AG794" s="7"/>
      <c r="AH794" s="7"/>
      <c r="AI794" s="7"/>
      <c r="AJ794" s="7"/>
      <c r="AK794" s="7"/>
      <c r="AL794" s="9"/>
      <c r="AM794" s="7" t="s">
        <v>71</v>
      </c>
      <c r="AN794" s="7" t="s">
        <v>71</v>
      </c>
      <c r="AO794" s="12"/>
    </row>
    <row r="795" spans="1:41" s="11" customFormat="1" x14ac:dyDescent="0.25">
      <c r="A795" s="2">
        <v>794</v>
      </c>
      <c r="B795" s="7" t="s">
        <v>655</v>
      </c>
      <c r="C795" s="7" t="s">
        <v>50</v>
      </c>
      <c r="D795" s="7">
        <v>16</v>
      </c>
      <c r="E795" s="7">
        <v>16</v>
      </c>
      <c r="F795" s="8">
        <v>1</v>
      </c>
      <c r="G795" s="8">
        <v>1</v>
      </c>
      <c r="H795" s="7">
        <v>1</v>
      </c>
      <c r="I795" s="7">
        <v>1</v>
      </c>
      <c r="J795" s="9" t="s">
        <v>176</v>
      </c>
      <c r="K795" s="7" t="s">
        <v>189</v>
      </c>
      <c r="L795" s="7" t="s">
        <v>52</v>
      </c>
      <c r="M795" s="7">
        <f t="shared" si="57"/>
        <v>1</v>
      </c>
      <c r="N795" s="9" t="s">
        <v>177</v>
      </c>
      <c r="O795" s="7">
        <v>0</v>
      </c>
      <c r="P795" s="9" t="s">
        <v>63</v>
      </c>
      <c r="Q795" s="7" t="s">
        <v>38</v>
      </c>
      <c r="R795" s="7" t="s">
        <v>52</v>
      </c>
      <c r="S795" s="10" t="s">
        <v>1929</v>
      </c>
      <c r="T795" s="7"/>
      <c r="U795" s="7"/>
      <c r="V795" s="7"/>
      <c r="W795" s="7"/>
      <c r="X795" s="7"/>
      <c r="Y795" s="7">
        <v>10</v>
      </c>
      <c r="Z795" s="7">
        <v>10</v>
      </c>
      <c r="AA795" s="7" t="s">
        <v>267</v>
      </c>
      <c r="AB795" s="7">
        <f t="shared" si="60"/>
        <v>3.3333333333333335</v>
      </c>
      <c r="AC795" s="7">
        <f t="shared" si="58"/>
        <v>3.3333333333333335</v>
      </c>
      <c r="AD795" s="7"/>
      <c r="AE795" s="7"/>
      <c r="AF795" s="7"/>
      <c r="AG795" s="7"/>
      <c r="AH795" s="7"/>
      <c r="AI795" s="7"/>
      <c r="AJ795" s="7"/>
      <c r="AK795" s="7"/>
      <c r="AL795" s="9"/>
      <c r="AM795" s="7" t="s">
        <v>71</v>
      </c>
      <c r="AN795" s="7" t="s">
        <v>71</v>
      </c>
      <c r="AO795" s="12"/>
    </row>
    <row r="796" spans="1:41" s="11" customFormat="1" ht="24" x14ac:dyDescent="0.25">
      <c r="A796" s="2">
        <v>795</v>
      </c>
      <c r="B796" s="7" t="s">
        <v>655</v>
      </c>
      <c r="C796" s="7" t="s">
        <v>78</v>
      </c>
      <c r="D796" s="7">
        <v>6</v>
      </c>
      <c r="E796" s="7">
        <v>6</v>
      </c>
      <c r="F796" s="8">
        <v>1</v>
      </c>
      <c r="G796" s="8">
        <v>1</v>
      </c>
      <c r="H796" s="7">
        <v>1</v>
      </c>
      <c r="I796" s="7">
        <v>1</v>
      </c>
      <c r="J796" s="9" t="s">
        <v>176</v>
      </c>
      <c r="K796" s="7">
        <v>3</v>
      </c>
      <c r="L796" s="7" t="s">
        <v>52</v>
      </c>
      <c r="M796" s="7">
        <f t="shared" si="57"/>
        <v>1</v>
      </c>
      <c r="N796" s="9" t="s">
        <v>177</v>
      </c>
      <c r="O796" s="7">
        <v>0</v>
      </c>
      <c r="P796" s="9" t="s">
        <v>63</v>
      </c>
      <c r="Q796" s="7" t="s">
        <v>38</v>
      </c>
      <c r="R796" s="7" t="s">
        <v>38</v>
      </c>
      <c r="S796" s="10" t="s">
        <v>674</v>
      </c>
      <c r="T796" s="7">
        <v>4</v>
      </c>
      <c r="U796" s="7">
        <v>4</v>
      </c>
      <c r="V796" s="7">
        <v>200</v>
      </c>
      <c r="W796" s="7" t="s">
        <v>675</v>
      </c>
      <c r="X796" s="7"/>
      <c r="Y796" s="7"/>
      <c r="Z796" s="7"/>
      <c r="AA796" s="7"/>
      <c r="AB796" s="7">
        <f t="shared" si="60"/>
        <v>1.3333333333333333</v>
      </c>
      <c r="AC796" s="7">
        <f t="shared" si="58"/>
        <v>1.3333333333333333</v>
      </c>
      <c r="AD796" s="7"/>
      <c r="AE796" s="7"/>
      <c r="AF796" s="7"/>
      <c r="AG796" s="7"/>
      <c r="AH796" s="7"/>
      <c r="AI796" s="7"/>
      <c r="AJ796" s="7"/>
      <c r="AK796" s="7"/>
      <c r="AL796" s="9"/>
      <c r="AM796" s="7" t="s">
        <v>71</v>
      </c>
      <c r="AN796" s="7" t="s">
        <v>71</v>
      </c>
      <c r="AO796" s="12"/>
    </row>
    <row r="797" spans="1:41" s="11" customFormat="1" x14ac:dyDescent="0.25">
      <c r="A797" s="2">
        <v>796</v>
      </c>
      <c r="B797" s="7" t="s">
        <v>655</v>
      </c>
      <c r="C797" s="7" t="s">
        <v>89</v>
      </c>
      <c r="D797" s="7" t="s">
        <v>676</v>
      </c>
      <c r="E797" s="7">
        <f>30+12+7+3</f>
        <v>52</v>
      </c>
      <c r="F797" s="8">
        <v>4</v>
      </c>
      <c r="G797" s="8">
        <v>8</v>
      </c>
      <c r="H797" s="7" t="s">
        <v>677</v>
      </c>
      <c r="I797" s="7">
        <v>8</v>
      </c>
      <c r="J797" s="9" t="s">
        <v>176</v>
      </c>
      <c r="K797" s="7">
        <v>3</v>
      </c>
      <c r="L797" s="7" t="s">
        <v>52</v>
      </c>
      <c r="M797" s="7">
        <f t="shared" si="57"/>
        <v>4</v>
      </c>
      <c r="N797" s="9"/>
      <c r="O797" s="7"/>
      <c r="P797" s="9"/>
      <c r="Q797" s="7"/>
      <c r="R797" s="7"/>
      <c r="S797" s="7"/>
      <c r="T797" s="7"/>
      <c r="U797" s="7"/>
      <c r="V797" s="7"/>
      <c r="W797" s="7"/>
      <c r="X797" s="7">
        <v>3</v>
      </c>
      <c r="Y797" s="7"/>
      <c r="Z797" s="7"/>
      <c r="AA797" s="7"/>
      <c r="AB797" s="7">
        <f t="shared" si="60"/>
        <v>1</v>
      </c>
      <c r="AC797" s="7">
        <f t="shared" si="58"/>
        <v>1</v>
      </c>
      <c r="AD797" s="7"/>
      <c r="AE797" s="7"/>
      <c r="AF797" s="7"/>
      <c r="AG797" s="7"/>
      <c r="AH797" s="7"/>
      <c r="AI797" s="7"/>
      <c r="AJ797" s="7"/>
      <c r="AK797" s="7"/>
      <c r="AL797" s="9"/>
      <c r="AM797" s="7" t="s">
        <v>71</v>
      </c>
      <c r="AN797" s="7" t="s">
        <v>71</v>
      </c>
      <c r="AO797" s="12"/>
    </row>
    <row r="798" spans="1:41" s="11" customFormat="1" x14ac:dyDescent="0.25">
      <c r="A798" s="2">
        <v>797</v>
      </c>
      <c r="B798" s="7" t="s">
        <v>655</v>
      </c>
      <c r="C798" s="7" t="s">
        <v>50</v>
      </c>
      <c r="D798" s="7">
        <v>68</v>
      </c>
      <c r="E798" s="7">
        <v>68</v>
      </c>
      <c r="F798" s="8">
        <v>1</v>
      </c>
      <c r="G798" s="8">
        <v>1</v>
      </c>
      <c r="H798" s="7">
        <v>1</v>
      </c>
      <c r="I798" s="7">
        <v>1</v>
      </c>
      <c r="J798" s="9" t="s">
        <v>219</v>
      </c>
      <c r="K798" s="7">
        <v>9</v>
      </c>
      <c r="L798" s="7" t="s">
        <v>52</v>
      </c>
      <c r="M798" s="7">
        <f t="shared" si="57"/>
        <v>1</v>
      </c>
      <c r="N798" s="9" t="s">
        <v>33</v>
      </c>
      <c r="O798" s="7">
        <v>0</v>
      </c>
      <c r="P798" s="9" t="s">
        <v>63</v>
      </c>
      <c r="Q798" s="7" t="s">
        <v>38</v>
      </c>
      <c r="R798" s="7" t="s">
        <v>52</v>
      </c>
      <c r="S798" s="10" t="s">
        <v>1930</v>
      </c>
      <c r="T798" s="7"/>
      <c r="U798" s="7"/>
      <c r="V798" s="7"/>
      <c r="W798" s="7"/>
      <c r="X798" s="7"/>
      <c r="Y798" s="7">
        <v>15</v>
      </c>
      <c r="Z798" s="7">
        <v>15</v>
      </c>
      <c r="AA798" s="7">
        <v>140</v>
      </c>
      <c r="AB798" s="7">
        <f t="shared" si="60"/>
        <v>5</v>
      </c>
      <c r="AC798" s="7">
        <f t="shared" si="58"/>
        <v>5</v>
      </c>
      <c r="AD798" s="7"/>
      <c r="AE798" s="7"/>
      <c r="AF798" s="7"/>
      <c r="AG798" s="7"/>
      <c r="AH798" s="7"/>
      <c r="AI798" s="10" t="s">
        <v>2307</v>
      </c>
      <c r="AJ798" s="7" t="s">
        <v>678</v>
      </c>
      <c r="AK798" s="7"/>
      <c r="AL798" s="9"/>
      <c r="AM798" s="7" t="s">
        <v>71</v>
      </c>
      <c r="AN798" s="7" t="s">
        <v>71</v>
      </c>
      <c r="AO798" s="12"/>
    </row>
    <row r="799" spans="1:41" s="11" customFormat="1" x14ac:dyDescent="0.25">
      <c r="A799" s="2">
        <v>798</v>
      </c>
      <c r="B799" s="7" t="s">
        <v>655</v>
      </c>
      <c r="C799" s="7" t="s">
        <v>50</v>
      </c>
      <c r="D799" s="7">
        <v>10</v>
      </c>
      <c r="E799" s="7">
        <v>10</v>
      </c>
      <c r="F799" s="8">
        <v>1</v>
      </c>
      <c r="G799" s="8">
        <v>1</v>
      </c>
      <c r="H799" s="7">
        <v>1</v>
      </c>
      <c r="I799" s="7">
        <v>1</v>
      </c>
      <c r="J799" s="9" t="s">
        <v>219</v>
      </c>
      <c r="K799" s="7">
        <v>9</v>
      </c>
      <c r="L799" s="7" t="s">
        <v>52</v>
      </c>
      <c r="M799" s="7">
        <f t="shared" si="57"/>
        <v>1</v>
      </c>
      <c r="N799" s="9" t="s">
        <v>34</v>
      </c>
      <c r="O799" s="7">
        <v>0</v>
      </c>
      <c r="P799" s="9" t="s">
        <v>63</v>
      </c>
      <c r="Q799" s="7" t="s">
        <v>38</v>
      </c>
      <c r="R799" s="7" t="s">
        <v>52</v>
      </c>
      <c r="S799" s="10" t="s">
        <v>1588</v>
      </c>
      <c r="T799" s="7"/>
      <c r="U799" s="7"/>
      <c r="V799" s="7"/>
      <c r="W799" s="7"/>
      <c r="X799" s="7"/>
      <c r="Y799" s="7">
        <v>15</v>
      </c>
      <c r="Z799" s="7">
        <v>15</v>
      </c>
      <c r="AA799" s="7" t="s">
        <v>76</v>
      </c>
      <c r="AB799" s="7">
        <f t="shared" si="60"/>
        <v>5</v>
      </c>
      <c r="AC799" s="7">
        <f t="shared" si="58"/>
        <v>5</v>
      </c>
      <c r="AD799" s="7"/>
      <c r="AE799" s="7"/>
      <c r="AF799" s="7"/>
      <c r="AG799" s="7"/>
      <c r="AH799" s="7"/>
      <c r="AI799" s="7"/>
      <c r="AJ799" s="7"/>
      <c r="AK799" s="7"/>
      <c r="AL799" s="9"/>
      <c r="AM799" s="7" t="s">
        <v>71</v>
      </c>
      <c r="AN799" s="7" t="s">
        <v>71</v>
      </c>
      <c r="AO799" s="12"/>
    </row>
    <row r="800" spans="1:41" s="11" customFormat="1" x14ac:dyDescent="0.25">
      <c r="A800" s="2">
        <v>799</v>
      </c>
      <c r="B800" s="7" t="s">
        <v>655</v>
      </c>
      <c r="C800" s="7" t="s">
        <v>50</v>
      </c>
      <c r="D800" s="7">
        <v>27</v>
      </c>
      <c r="E800" s="7">
        <v>27</v>
      </c>
      <c r="F800" s="8">
        <v>1</v>
      </c>
      <c r="G800" s="8">
        <v>1</v>
      </c>
      <c r="H800" s="7">
        <v>1</v>
      </c>
      <c r="I800" s="7">
        <v>1</v>
      </c>
      <c r="J800" s="9" t="s">
        <v>219</v>
      </c>
      <c r="K800" s="9" t="s">
        <v>633</v>
      </c>
      <c r="L800" s="7" t="s">
        <v>52</v>
      </c>
      <c r="M800" s="7">
        <f t="shared" si="57"/>
        <v>1</v>
      </c>
      <c r="N800" s="9" t="s">
        <v>34</v>
      </c>
      <c r="O800" s="7">
        <v>0</v>
      </c>
      <c r="P800" s="9" t="s">
        <v>63</v>
      </c>
      <c r="Q800" s="7" t="s">
        <v>38</v>
      </c>
      <c r="R800" s="7" t="s">
        <v>38</v>
      </c>
      <c r="S800" s="10" t="s">
        <v>1931</v>
      </c>
      <c r="T800" s="7"/>
      <c r="U800" s="7"/>
      <c r="V800" s="7"/>
      <c r="W800" s="7"/>
      <c r="X800" s="7"/>
      <c r="Y800" s="7">
        <v>30</v>
      </c>
      <c r="Z800" s="7">
        <v>30</v>
      </c>
      <c r="AA800" s="7">
        <v>60</v>
      </c>
      <c r="AB800" s="7">
        <f t="shared" si="60"/>
        <v>10</v>
      </c>
      <c r="AC800" s="7">
        <f t="shared" si="58"/>
        <v>10</v>
      </c>
      <c r="AD800" s="7"/>
      <c r="AE800" s="7"/>
      <c r="AF800" s="7"/>
      <c r="AG800" s="7"/>
      <c r="AH800" s="7"/>
      <c r="AI800" s="7"/>
      <c r="AJ800" s="7"/>
      <c r="AK800" s="7"/>
      <c r="AL800" s="9"/>
      <c r="AM800" s="7" t="s">
        <v>71</v>
      </c>
      <c r="AN800" s="7" t="s">
        <v>71</v>
      </c>
      <c r="AO800" s="12"/>
    </row>
    <row r="801" spans="1:41" s="11" customFormat="1" x14ac:dyDescent="0.25">
      <c r="A801" s="2">
        <v>800</v>
      </c>
      <c r="B801" s="7" t="s">
        <v>655</v>
      </c>
      <c r="C801" s="7" t="s">
        <v>89</v>
      </c>
      <c r="D801" s="7" t="s">
        <v>679</v>
      </c>
      <c r="E801" s="7">
        <f>31+13+6</f>
        <v>50</v>
      </c>
      <c r="F801" s="8">
        <v>7</v>
      </c>
      <c r="G801" s="8">
        <v>7</v>
      </c>
      <c r="H801" s="7" t="s">
        <v>122</v>
      </c>
      <c r="I801" s="7">
        <v>7</v>
      </c>
      <c r="J801" s="9" t="s">
        <v>219</v>
      </c>
      <c r="K801" s="7">
        <v>9</v>
      </c>
      <c r="L801" s="7" t="s">
        <v>52</v>
      </c>
      <c r="M801" s="7">
        <f t="shared" si="57"/>
        <v>7</v>
      </c>
      <c r="N801" s="9"/>
      <c r="O801" s="7"/>
      <c r="P801" s="9"/>
      <c r="Q801" s="7"/>
      <c r="R801" s="7"/>
      <c r="S801" s="7"/>
      <c r="T801" s="7"/>
      <c r="U801" s="7"/>
      <c r="V801" s="7"/>
      <c r="W801" s="7"/>
      <c r="X801" s="7">
        <v>3</v>
      </c>
      <c r="Y801" s="7"/>
      <c r="Z801" s="7"/>
      <c r="AA801" s="7"/>
      <c r="AB801" s="7">
        <f t="shared" si="60"/>
        <v>1</v>
      </c>
      <c r="AC801" s="7">
        <f t="shared" si="58"/>
        <v>1</v>
      </c>
      <c r="AD801" s="7"/>
      <c r="AE801" s="7"/>
      <c r="AF801" s="7"/>
      <c r="AG801" s="7"/>
      <c r="AH801" s="7"/>
      <c r="AI801" s="7"/>
      <c r="AJ801" s="7"/>
      <c r="AK801" s="7"/>
      <c r="AL801" s="9"/>
      <c r="AM801" s="7" t="s">
        <v>71</v>
      </c>
      <c r="AN801" s="7" t="s">
        <v>71</v>
      </c>
      <c r="AO801" s="12"/>
    </row>
    <row r="802" spans="1:41" s="11" customFormat="1" x14ac:dyDescent="0.25">
      <c r="A802" s="2">
        <v>801</v>
      </c>
      <c r="B802" s="7" t="s">
        <v>655</v>
      </c>
      <c r="C802" s="7" t="s">
        <v>100</v>
      </c>
      <c r="D802" s="7">
        <v>13</v>
      </c>
      <c r="E802" s="7">
        <v>13</v>
      </c>
      <c r="F802" s="8">
        <v>1</v>
      </c>
      <c r="G802" s="8">
        <v>1</v>
      </c>
      <c r="H802" s="7">
        <v>1</v>
      </c>
      <c r="I802" s="7">
        <v>1</v>
      </c>
      <c r="J802" s="9" t="s">
        <v>219</v>
      </c>
      <c r="K802" s="7">
        <v>13</v>
      </c>
      <c r="L802" s="7" t="s">
        <v>52</v>
      </c>
      <c r="M802" s="7">
        <f t="shared" si="57"/>
        <v>1</v>
      </c>
      <c r="N802" s="9"/>
      <c r="O802" s="7"/>
      <c r="P802" s="9"/>
      <c r="Q802" s="7"/>
      <c r="R802" s="7"/>
      <c r="S802" s="7"/>
      <c r="T802" s="7"/>
      <c r="U802" s="7"/>
      <c r="V802" s="7"/>
      <c r="W802" s="7"/>
      <c r="X802" s="7">
        <v>3</v>
      </c>
      <c r="Y802" s="7"/>
      <c r="Z802" s="7"/>
      <c r="AA802" s="7"/>
      <c r="AB802" s="7">
        <f t="shared" si="60"/>
        <v>1</v>
      </c>
      <c r="AC802" s="7">
        <f t="shared" si="58"/>
        <v>1</v>
      </c>
      <c r="AD802" s="7"/>
      <c r="AE802" s="7"/>
      <c r="AF802" s="7"/>
      <c r="AG802" s="7"/>
      <c r="AH802" s="7"/>
      <c r="AI802" s="7"/>
      <c r="AJ802" s="7"/>
      <c r="AK802" s="7"/>
      <c r="AL802" s="9"/>
      <c r="AM802" s="7" t="s">
        <v>71</v>
      </c>
      <c r="AN802" s="7" t="s">
        <v>71</v>
      </c>
      <c r="AO802" s="12"/>
    </row>
    <row r="803" spans="1:41" s="11" customFormat="1" x14ac:dyDescent="0.25">
      <c r="A803" s="2">
        <v>802</v>
      </c>
      <c r="B803" s="7" t="s">
        <v>655</v>
      </c>
      <c r="C803" s="7" t="s">
        <v>104</v>
      </c>
      <c r="D803" s="7">
        <v>2</v>
      </c>
      <c r="E803" s="7">
        <v>2</v>
      </c>
      <c r="F803" s="8">
        <v>1</v>
      </c>
      <c r="G803" s="8">
        <v>1</v>
      </c>
      <c r="H803" s="7">
        <v>1</v>
      </c>
      <c r="I803" s="7">
        <v>1</v>
      </c>
      <c r="J803" s="9" t="s">
        <v>219</v>
      </c>
      <c r="K803" s="7">
        <v>1</v>
      </c>
      <c r="L803" s="7" t="s">
        <v>52</v>
      </c>
      <c r="M803" s="7">
        <f t="shared" si="57"/>
        <v>1</v>
      </c>
      <c r="N803" s="9" t="s">
        <v>34</v>
      </c>
      <c r="O803" s="7">
        <v>0</v>
      </c>
      <c r="P803" s="9" t="s">
        <v>36</v>
      </c>
      <c r="Q803" s="7"/>
      <c r="R803" s="7" t="s">
        <v>38</v>
      </c>
      <c r="S803" s="7"/>
      <c r="T803" s="7"/>
      <c r="U803" s="7"/>
      <c r="V803" s="7"/>
      <c r="W803" s="7"/>
      <c r="X803" s="7">
        <v>3</v>
      </c>
      <c r="Y803" s="7"/>
      <c r="Z803" s="7"/>
      <c r="AA803" s="7"/>
      <c r="AB803" s="7">
        <f t="shared" si="60"/>
        <v>1</v>
      </c>
      <c r="AC803" s="7">
        <f t="shared" si="58"/>
        <v>1</v>
      </c>
      <c r="AD803" s="7"/>
      <c r="AE803" s="7">
        <v>1</v>
      </c>
      <c r="AF803" s="7"/>
      <c r="AG803" s="7" t="s">
        <v>680</v>
      </c>
      <c r="AH803" s="7"/>
      <c r="AI803" s="7"/>
      <c r="AJ803" s="7"/>
      <c r="AK803" s="7"/>
      <c r="AL803" s="9"/>
      <c r="AM803" s="7" t="s">
        <v>71</v>
      </c>
      <c r="AN803" s="7" t="s">
        <v>71</v>
      </c>
      <c r="AO803" s="12"/>
    </row>
    <row r="804" spans="1:41" s="11" customFormat="1" x14ac:dyDescent="0.25">
      <c r="A804" s="2">
        <v>803</v>
      </c>
      <c r="B804" s="7" t="s">
        <v>655</v>
      </c>
      <c r="C804" s="7" t="s">
        <v>89</v>
      </c>
      <c r="D804" s="7" t="s">
        <v>681</v>
      </c>
      <c r="E804" s="7">
        <f>84+41+14+16+3</f>
        <v>158</v>
      </c>
      <c r="F804" s="8">
        <v>7</v>
      </c>
      <c r="G804" s="8">
        <v>7</v>
      </c>
      <c r="H804" s="7" t="s">
        <v>122</v>
      </c>
      <c r="I804" s="7">
        <v>7</v>
      </c>
      <c r="J804" s="9" t="s">
        <v>219</v>
      </c>
      <c r="K804" s="7">
        <v>1</v>
      </c>
      <c r="L804" s="7" t="s">
        <v>52</v>
      </c>
      <c r="M804" s="7">
        <f t="shared" si="57"/>
        <v>7</v>
      </c>
      <c r="N804" s="9"/>
      <c r="O804" s="7"/>
      <c r="P804" s="9"/>
      <c r="Q804" s="7"/>
      <c r="R804" s="7"/>
      <c r="S804" s="7"/>
      <c r="T804" s="7"/>
      <c r="U804" s="7"/>
      <c r="V804" s="7"/>
      <c r="W804" s="7"/>
      <c r="X804" s="7">
        <v>3</v>
      </c>
      <c r="Y804" s="7"/>
      <c r="Z804" s="7"/>
      <c r="AA804" s="7"/>
      <c r="AB804" s="7">
        <f t="shared" si="60"/>
        <v>1</v>
      </c>
      <c r="AC804" s="7">
        <f t="shared" si="58"/>
        <v>1</v>
      </c>
      <c r="AD804" s="7"/>
      <c r="AE804" s="7"/>
      <c r="AF804" s="7"/>
      <c r="AG804" s="7"/>
      <c r="AH804" s="7"/>
      <c r="AI804" s="7"/>
      <c r="AJ804" s="7"/>
      <c r="AK804" s="7"/>
      <c r="AL804" s="9"/>
      <c r="AM804" s="7" t="s">
        <v>71</v>
      </c>
      <c r="AN804" s="7" t="s">
        <v>71</v>
      </c>
      <c r="AO804" s="12"/>
    </row>
    <row r="805" spans="1:41" s="11" customFormat="1" x14ac:dyDescent="0.25">
      <c r="A805" s="2">
        <v>804</v>
      </c>
      <c r="B805" s="7" t="s">
        <v>655</v>
      </c>
      <c r="C805" s="7" t="s">
        <v>577</v>
      </c>
      <c r="D805" s="7">
        <v>48</v>
      </c>
      <c r="E805" s="7">
        <v>48</v>
      </c>
      <c r="F805" s="8">
        <v>8</v>
      </c>
      <c r="G805" s="8">
        <v>8</v>
      </c>
      <c r="H805" s="7" t="s">
        <v>258</v>
      </c>
      <c r="I805" s="7">
        <v>8</v>
      </c>
      <c r="J805" s="9" t="s">
        <v>639</v>
      </c>
      <c r="K805" s="7"/>
      <c r="L805" s="7" t="s">
        <v>38</v>
      </c>
      <c r="M805" s="7">
        <f t="shared" si="57"/>
        <v>0</v>
      </c>
      <c r="N805" s="9"/>
      <c r="O805" s="7"/>
      <c r="P805" s="9"/>
      <c r="Q805" s="7"/>
      <c r="R805" s="7"/>
      <c r="S805" s="7"/>
      <c r="T805" s="7"/>
      <c r="U805" s="7"/>
      <c r="V805" s="7"/>
      <c r="W805" s="7"/>
      <c r="X805" s="7"/>
      <c r="Y805" s="7"/>
      <c r="Z805" s="7"/>
      <c r="AA805" s="7"/>
      <c r="AB805" s="7">
        <v>0.33333333333333298</v>
      </c>
      <c r="AC805" s="7">
        <f t="shared" si="58"/>
        <v>0</v>
      </c>
      <c r="AD805" s="7"/>
      <c r="AE805" s="7"/>
      <c r="AF805" s="7"/>
      <c r="AG805" s="7"/>
      <c r="AH805" s="7"/>
      <c r="AI805" s="7"/>
      <c r="AJ805" s="7"/>
      <c r="AK805" s="7"/>
      <c r="AL805" s="9"/>
      <c r="AM805" s="7" t="s">
        <v>71</v>
      </c>
      <c r="AN805" s="7" t="s">
        <v>71</v>
      </c>
      <c r="AO805" s="15" t="s">
        <v>2572</v>
      </c>
    </row>
    <row r="806" spans="1:41" s="11" customFormat="1" x14ac:dyDescent="0.25">
      <c r="A806" s="2">
        <v>805</v>
      </c>
      <c r="B806" s="7" t="s">
        <v>655</v>
      </c>
      <c r="C806" s="7" t="s">
        <v>100</v>
      </c>
      <c r="D806" s="7">
        <v>3</v>
      </c>
      <c r="E806" s="7">
        <v>3</v>
      </c>
      <c r="F806" s="8">
        <v>1</v>
      </c>
      <c r="G806" s="8">
        <v>1</v>
      </c>
      <c r="H806" s="7">
        <v>1</v>
      </c>
      <c r="I806" s="7">
        <v>1</v>
      </c>
      <c r="J806" s="9" t="s">
        <v>353</v>
      </c>
      <c r="K806" s="7"/>
      <c r="L806" s="7" t="s">
        <v>38</v>
      </c>
      <c r="M806" s="7">
        <f t="shared" si="57"/>
        <v>0</v>
      </c>
      <c r="N806" s="9"/>
      <c r="O806" s="7"/>
      <c r="P806" s="9"/>
      <c r="Q806" s="7"/>
      <c r="R806" s="7"/>
      <c r="S806" s="7"/>
      <c r="T806" s="7"/>
      <c r="U806" s="7"/>
      <c r="V806" s="7"/>
      <c r="W806" s="7"/>
      <c r="X806" s="7">
        <v>3</v>
      </c>
      <c r="Y806" s="7"/>
      <c r="Z806" s="7"/>
      <c r="AA806" s="7"/>
      <c r="AB806" s="7">
        <f t="shared" ref="AB806:AB821" si="61">(U806+X806+Z806)/3</f>
        <v>1</v>
      </c>
      <c r="AC806" s="7">
        <f t="shared" si="58"/>
        <v>0</v>
      </c>
      <c r="AD806" s="7"/>
      <c r="AE806" s="7"/>
      <c r="AF806" s="7"/>
      <c r="AG806" s="7"/>
      <c r="AH806" s="7"/>
      <c r="AI806" s="7"/>
      <c r="AJ806" s="7"/>
      <c r="AK806" s="7"/>
      <c r="AL806" s="9"/>
      <c r="AM806" s="7" t="s">
        <v>71</v>
      </c>
      <c r="AN806" s="7" t="s">
        <v>71</v>
      </c>
      <c r="AO806" s="12"/>
    </row>
    <row r="807" spans="1:41" s="11" customFormat="1" ht="24" x14ac:dyDescent="0.25">
      <c r="A807" s="2">
        <v>806</v>
      </c>
      <c r="B807" s="7" t="s">
        <v>682</v>
      </c>
      <c r="C807" s="7" t="s">
        <v>237</v>
      </c>
      <c r="D807" s="7" t="s">
        <v>683</v>
      </c>
      <c r="E807" s="7">
        <f>30+24+16+20+3</f>
        <v>93</v>
      </c>
      <c r="F807" s="8">
        <v>1</v>
      </c>
      <c r="G807" s="9" t="s">
        <v>684</v>
      </c>
      <c r="H807" s="7">
        <v>7</v>
      </c>
      <c r="I807" s="7">
        <v>7</v>
      </c>
      <c r="J807" s="9" t="s">
        <v>35</v>
      </c>
      <c r="K807" s="7">
        <v>2</v>
      </c>
      <c r="L807" s="7" t="s">
        <v>52</v>
      </c>
      <c r="M807" s="7">
        <f t="shared" si="57"/>
        <v>1</v>
      </c>
      <c r="N807" s="9" t="s">
        <v>34</v>
      </c>
      <c r="O807" s="7">
        <v>1</v>
      </c>
      <c r="P807" s="9" t="s">
        <v>34</v>
      </c>
      <c r="Q807" s="7" t="s">
        <v>52</v>
      </c>
      <c r="R807" s="7" t="s">
        <v>38</v>
      </c>
      <c r="S807" s="10" t="s">
        <v>1932</v>
      </c>
      <c r="T807" s="7">
        <v>100</v>
      </c>
      <c r="U807" s="7">
        <v>100</v>
      </c>
      <c r="V807" s="7">
        <v>44</v>
      </c>
      <c r="W807" s="7" t="s">
        <v>79</v>
      </c>
      <c r="X807" s="7">
        <v>5</v>
      </c>
      <c r="Y807" s="7"/>
      <c r="Z807" s="7"/>
      <c r="AA807" s="7"/>
      <c r="AB807" s="7">
        <f t="shared" si="61"/>
        <v>35</v>
      </c>
      <c r="AC807" s="7">
        <f t="shared" si="58"/>
        <v>35</v>
      </c>
      <c r="AD807" s="7">
        <v>2</v>
      </c>
      <c r="AE807" s="7"/>
      <c r="AF807" s="7" t="s">
        <v>685</v>
      </c>
      <c r="AG807" s="7" t="s">
        <v>686</v>
      </c>
      <c r="AH807" s="7" t="s">
        <v>38</v>
      </c>
      <c r="AI807" s="7"/>
      <c r="AJ807" s="7" t="s">
        <v>2359</v>
      </c>
      <c r="AK807" s="7"/>
      <c r="AL807" s="9" t="s">
        <v>38</v>
      </c>
      <c r="AM807" s="7" t="s">
        <v>67</v>
      </c>
      <c r="AN807" s="7" t="s">
        <v>2847</v>
      </c>
      <c r="AO807" s="12"/>
    </row>
    <row r="808" spans="1:41" s="11" customFormat="1" x14ac:dyDescent="0.25">
      <c r="A808" s="2">
        <v>807</v>
      </c>
      <c r="B808" s="7" t="s">
        <v>687</v>
      </c>
      <c r="C808" s="7" t="s">
        <v>32</v>
      </c>
      <c r="D808" s="7" t="s">
        <v>688</v>
      </c>
      <c r="E808" s="7">
        <f>70+8+12+9</f>
        <v>99</v>
      </c>
      <c r="F808" s="8">
        <v>1</v>
      </c>
      <c r="G808" s="9" t="s">
        <v>689</v>
      </c>
      <c r="H808" s="7">
        <v>8</v>
      </c>
      <c r="I808" s="7">
        <v>8</v>
      </c>
      <c r="J808" s="9" t="s">
        <v>35</v>
      </c>
      <c r="K808" s="7">
        <v>2</v>
      </c>
      <c r="L808" s="7" t="s">
        <v>52</v>
      </c>
      <c r="M808" s="7">
        <f t="shared" si="57"/>
        <v>1</v>
      </c>
      <c r="N808" s="9" t="s">
        <v>34</v>
      </c>
      <c r="O808" s="7">
        <v>1</v>
      </c>
      <c r="P808" s="9" t="s">
        <v>33</v>
      </c>
      <c r="Q808" s="7" t="s">
        <v>38</v>
      </c>
      <c r="R808" s="7" t="s">
        <v>38</v>
      </c>
      <c r="S808" s="10" t="s">
        <v>1780</v>
      </c>
      <c r="T808" s="7"/>
      <c r="U808" s="7"/>
      <c r="V808" s="7"/>
      <c r="W808" s="7"/>
      <c r="X808" s="7"/>
      <c r="Y808" s="7">
        <v>65</v>
      </c>
      <c r="Z808" s="7">
        <v>65</v>
      </c>
      <c r="AA808" s="7">
        <v>58</v>
      </c>
      <c r="AB808" s="7">
        <f t="shared" si="61"/>
        <v>21.666666666666668</v>
      </c>
      <c r="AC808" s="7">
        <f t="shared" si="58"/>
        <v>21.666666666666668</v>
      </c>
      <c r="AD808" s="7"/>
      <c r="AE808" s="7">
        <v>1</v>
      </c>
      <c r="AF808" s="7" t="s">
        <v>40</v>
      </c>
      <c r="AG808" s="7" t="s">
        <v>690</v>
      </c>
      <c r="AH808" s="7" t="s">
        <v>38</v>
      </c>
      <c r="AI808" s="7"/>
      <c r="AJ808" s="7"/>
      <c r="AK808" s="7"/>
      <c r="AL808" s="9" t="s">
        <v>38</v>
      </c>
      <c r="AM808" s="7" t="s">
        <v>42</v>
      </c>
      <c r="AN808" s="7" t="s">
        <v>42</v>
      </c>
      <c r="AO808" s="12"/>
    </row>
    <row r="809" spans="1:41" s="11" customFormat="1" x14ac:dyDescent="0.25">
      <c r="A809" s="2">
        <v>808</v>
      </c>
      <c r="B809" s="7" t="s">
        <v>353</v>
      </c>
      <c r="C809" s="7" t="s">
        <v>32</v>
      </c>
      <c r="D809" s="7" t="s">
        <v>691</v>
      </c>
      <c r="E809" s="7">
        <v>77</v>
      </c>
      <c r="F809" s="8">
        <v>1</v>
      </c>
      <c r="G809" s="9" t="s">
        <v>188</v>
      </c>
      <c r="H809" s="7">
        <v>4</v>
      </c>
      <c r="I809" s="7">
        <v>4</v>
      </c>
      <c r="J809" s="9" t="s">
        <v>35</v>
      </c>
      <c r="K809" s="7">
        <v>2</v>
      </c>
      <c r="L809" s="7" t="s">
        <v>52</v>
      </c>
      <c r="M809" s="7">
        <f t="shared" si="57"/>
        <v>1</v>
      </c>
      <c r="N809" s="9" t="s">
        <v>34</v>
      </c>
      <c r="O809" s="7">
        <v>0</v>
      </c>
      <c r="P809" s="9" t="s">
        <v>37</v>
      </c>
      <c r="Q809" s="7" t="s">
        <v>38</v>
      </c>
      <c r="R809" s="7" t="s">
        <v>38</v>
      </c>
      <c r="S809" s="10" t="s">
        <v>1492</v>
      </c>
      <c r="T809" s="7"/>
      <c r="U809" s="7"/>
      <c r="V809" s="7"/>
      <c r="W809" s="7"/>
      <c r="X809" s="7">
        <v>30</v>
      </c>
      <c r="Y809" s="7">
        <v>100</v>
      </c>
      <c r="Z809" s="7">
        <v>100</v>
      </c>
      <c r="AA809" s="7">
        <v>52</v>
      </c>
      <c r="AB809" s="7">
        <f t="shared" si="61"/>
        <v>43.333333333333336</v>
      </c>
      <c r="AC809" s="7">
        <f t="shared" si="58"/>
        <v>43.333333333333336</v>
      </c>
      <c r="AD809" s="7"/>
      <c r="AE809" s="7">
        <v>1</v>
      </c>
      <c r="AF809" s="7" t="s">
        <v>40</v>
      </c>
      <c r="AG809" s="7" t="s">
        <v>692</v>
      </c>
      <c r="AH809" s="7"/>
      <c r="AI809" s="7"/>
      <c r="AJ809" s="7"/>
      <c r="AK809" s="10" t="s">
        <v>2458</v>
      </c>
      <c r="AL809" s="9" t="s">
        <v>38</v>
      </c>
      <c r="AM809" s="7" t="s">
        <v>42</v>
      </c>
      <c r="AN809" s="7" t="s">
        <v>42</v>
      </c>
      <c r="AO809" s="15" t="s">
        <v>2573</v>
      </c>
    </row>
    <row r="810" spans="1:41" s="11" customFormat="1" ht="24" x14ac:dyDescent="0.25">
      <c r="A810" s="2">
        <v>809</v>
      </c>
      <c r="B810" s="7" t="s">
        <v>693</v>
      </c>
      <c r="C810" s="7" t="s">
        <v>32</v>
      </c>
      <c r="D810" s="7">
        <v>160</v>
      </c>
      <c r="E810" s="7">
        <v>160</v>
      </c>
      <c r="F810" s="8">
        <v>1</v>
      </c>
      <c r="G810" s="8">
        <v>1</v>
      </c>
      <c r="H810" s="7">
        <v>1</v>
      </c>
      <c r="I810" s="7">
        <v>1</v>
      </c>
      <c r="J810" s="7" t="s">
        <v>1489</v>
      </c>
      <c r="K810" s="7">
        <v>1</v>
      </c>
      <c r="L810" s="7" t="s">
        <v>52</v>
      </c>
      <c r="M810" s="7">
        <f t="shared" si="57"/>
        <v>1</v>
      </c>
      <c r="N810" s="9" t="s">
        <v>36</v>
      </c>
      <c r="O810" s="7">
        <v>0</v>
      </c>
      <c r="P810" s="9" t="s">
        <v>33</v>
      </c>
      <c r="Q810" s="7" t="s">
        <v>38</v>
      </c>
      <c r="R810" s="7" t="s">
        <v>38</v>
      </c>
      <c r="S810" s="10" t="s">
        <v>1933</v>
      </c>
      <c r="T810" s="7"/>
      <c r="U810" s="7"/>
      <c r="V810" s="7"/>
      <c r="W810" s="7"/>
      <c r="X810" s="7">
        <v>15</v>
      </c>
      <c r="Y810" s="7">
        <v>99</v>
      </c>
      <c r="Z810" s="7">
        <v>99</v>
      </c>
      <c r="AA810" s="7">
        <v>66</v>
      </c>
      <c r="AB810" s="7">
        <f t="shared" si="61"/>
        <v>38</v>
      </c>
      <c r="AC810" s="7">
        <f t="shared" si="58"/>
        <v>38</v>
      </c>
      <c r="AD810" s="7"/>
      <c r="AE810" s="7">
        <v>1</v>
      </c>
      <c r="AF810" s="7"/>
      <c r="AG810" s="7" t="s">
        <v>694</v>
      </c>
      <c r="AH810" s="7" t="s">
        <v>38</v>
      </c>
      <c r="AI810" s="7"/>
      <c r="AJ810" s="10" t="s">
        <v>2364</v>
      </c>
      <c r="AK810" s="7"/>
      <c r="AL810" s="9" t="s">
        <v>38</v>
      </c>
      <c r="AM810" s="7" t="s">
        <v>42</v>
      </c>
      <c r="AN810" s="7" t="s">
        <v>42</v>
      </c>
      <c r="AO810" s="15" t="s">
        <v>2574</v>
      </c>
    </row>
    <row r="811" spans="1:41" s="11" customFormat="1" ht="24" x14ac:dyDescent="0.25">
      <c r="A811" s="2">
        <v>810</v>
      </c>
      <c r="B811" s="7" t="s">
        <v>693</v>
      </c>
      <c r="C811" s="7" t="s">
        <v>32</v>
      </c>
      <c r="D811" s="7">
        <v>134</v>
      </c>
      <c r="E811" s="7">
        <v>134</v>
      </c>
      <c r="F811" s="8">
        <v>1</v>
      </c>
      <c r="G811" s="8">
        <v>1</v>
      </c>
      <c r="H811" s="7">
        <v>1</v>
      </c>
      <c r="I811" s="7">
        <v>1</v>
      </c>
      <c r="J811" s="7" t="s">
        <v>1489</v>
      </c>
      <c r="K811" s="7">
        <v>1</v>
      </c>
      <c r="L811" s="7" t="s">
        <v>52</v>
      </c>
      <c r="M811" s="7">
        <f t="shared" si="57"/>
        <v>1</v>
      </c>
      <c r="N811" s="9" t="s">
        <v>34</v>
      </c>
      <c r="O811" s="7">
        <v>0</v>
      </c>
      <c r="P811" s="9" t="s">
        <v>63</v>
      </c>
      <c r="Q811" s="7" t="s">
        <v>38</v>
      </c>
      <c r="R811" s="7" t="s">
        <v>38</v>
      </c>
      <c r="S811" s="10" t="s">
        <v>1934</v>
      </c>
      <c r="T811" s="7"/>
      <c r="U811" s="7"/>
      <c r="V811" s="7"/>
      <c r="W811" s="7"/>
      <c r="X811" s="7">
        <v>5</v>
      </c>
      <c r="Y811" s="7">
        <v>100</v>
      </c>
      <c r="Z811" s="7">
        <v>100</v>
      </c>
      <c r="AA811" s="7">
        <v>64</v>
      </c>
      <c r="AB811" s="7">
        <f t="shared" si="61"/>
        <v>35</v>
      </c>
      <c r="AC811" s="7">
        <f t="shared" si="58"/>
        <v>35</v>
      </c>
      <c r="AD811" s="7"/>
      <c r="AE811" s="7">
        <v>1</v>
      </c>
      <c r="AF811" s="7"/>
      <c r="AG811" s="7" t="s">
        <v>694</v>
      </c>
      <c r="AH811" s="7" t="s">
        <v>38</v>
      </c>
      <c r="AI811" s="7"/>
      <c r="AJ811" s="7"/>
      <c r="AK811" s="7"/>
      <c r="AL811" s="9" t="s">
        <v>38</v>
      </c>
      <c r="AM811" s="7" t="s">
        <v>42</v>
      </c>
      <c r="AN811" s="7" t="s">
        <v>42</v>
      </c>
      <c r="AO811" s="15" t="s">
        <v>2575</v>
      </c>
    </row>
    <row r="812" spans="1:41" s="11" customFormat="1" ht="36" x14ac:dyDescent="0.25">
      <c r="A812" s="2">
        <v>811</v>
      </c>
      <c r="B812" s="7" t="s">
        <v>693</v>
      </c>
      <c r="C812" s="7" t="s">
        <v>50</v>
      </c>
      <c r="D812" s="7">
        <v>71</v>
      </c>
      <c r="E812" s="7">
        <v>71</v>
      </c>
      <c r="F812" s="8">
        <v>1</v>
      </c>
      <c r="G812" s="8">
        <v>1</v>
      </c>
      <c r="H812" s="7">
        <v>1</v>
      </c>
      <c r="I812" s="7">
        <v>1</v>
      </c>
      <c r="J812" s="9" t="s">
        <v>35</v>
      </c>
      <c r="K812" s="7">
        <v>2</v>
      </c>
      <c r="L812" s="7" t="s">
        <v>52</v>
      </c>
      <c r="M812" s="7">
        <f t="shared" si="57"/>
        <v>1</v>
      </c>
      <c r="N812" s="9" t="s">
        <v>34</v>
      </c>
      <c r="O812" s="7">
        <v>0</v>
      </c>
      <c r="P812" s="9" t="s">
        <v>63</v>
      </c>
      <c r="Q812" s="7" t="s">
        <v>38</v>
      </c>
      <c r="R812" s="7" t="s">
        <v>38</v>
      </c>
      <c r="S812" s="10" t="s">
        <v>1935</v>
      </c>
      <c r="T812" s="7"/>
      <c r="U812" s="7"/>
      <c r="V812" s="7"/>
      <c r="W812" s="7"/>
      <c r="X812" s="7"/>
      <c r="Y812" s="7">
        <v>100</v>
      </c>
      <c r="Z812" s="7">
        <v>100</v>
      </c>
      <c r="AA812" s="7">
        <v>63</v>
      </c>
      <c r="AB812" s="7">
        <f t="shared" si="61"/>
        <v>33.333333333333336</v>
      </c>
      <c r="AC812" s="7">
        <f t="shared" si="58"/>
        <v>33.333333333333336</v>
      </c>
      <c r="AD812" s="7"/>
      <c r="AE812" s="7">
        <v>1</v>
      </c>
      <c r="AF812" s="7"/>
      <c r="AG812" s="7" t="s">
        <v>695</v>
      </c>
      <c r="AH812" s="7"/>
      <c r="AI812" s="10" t="s">
        <v>2308</v>
      </c>
      <c r="AJ812" s="7"/>
      <c r="AK812" s="7"/>
      <c r="AL812" s="9"/>
      <c r="AM812" s="7" t="s">
        <v>42</v>
      </c>
      <c r="AN812" s="7" t="s">
        <v>42</v>
      </c>
      <c r="AO812" s="12"/>
    </row>
    <row r="813" spans="1:41" s="11" customFormat="1" ht="24" x14ac:dyDescent="0.25">
      <c r="A813" s="2">
        <v>812</v>
      </c>
      <c r="B813" s="7" t="s">
        <v>693</v>
      </c>
      <c r="C813" s="7" t="s">
        <v>50</v>
      </c>
      <c r="D813" s="7">
        <v>39</v>
      </c>
      <c r="E813" s="7">
        <v>39</v>
      </c>
      <c r="F813" s="8">
        <v>1</v>
      </c>
      <c r="G813" s="8">
        <v>1</v>
      </c>
      <c r="H813" s="7">
        <v>1</v>
      </c>
      <c r="I813" s="7">
        <v>1</v>
      </c>
      <c r="J813" s="9" t="s">
        <v>70</v>
      </c>
      <c r="K813" s="7">
        <v>1</v>
      </c>
      <c r="L813" s="7" t="s">
        <v>52</v>
      </c>
      <c r="M813" s="7">
        <f t="shared" si="57"/>
        <v>1</v>
      </c>
      <c r="N813" s="9" t="s">
        <v>34</v>
      </c>
      <c r="O813" s="7">
        <v>0</v>
      </c>
      <c r="P813" s="9" t="s">
        <v>63</v>
      </c>
      <c r="Q813" s="7" t="s">
        <v>38</v>
      </c>
      <c r="R813" s="7" t="s">
        <v>38</v>
      </c>
      <c r="S813" s="10" t="s">
        <v>1936</v>
      </c>
      <c r="T813" s="7"/>
      <c r="U813" s="7"/>
      <c r="V813" s="7"/>
      <c r="W813" s="7"/>
      <c r="X813" s="7"/>
      <c r="Y813" s="7">
        <v>100</v>
      </c>
      <c r="Z813" s="7">
        <v>100</v>
      </c>
      <c r="AA813" s="7">
        <v>47</v>
      </c>
      <c r="AB813" s="7">
        <f t="shared" si="61"/>
        <v>33.333333333333336</v>
      </c>
      <c r="AC813" s="7">
        <f t="shared" si="58"/>
        <v>33.333333333333336</v>
      </c>
      <c r="AD813" s="7"/>
      <c r="AE813" s="7"/>
      <c r="AF813" s="7"/>
      <c r="AG813" s="7"/>
      <c r="AH813" s="7"/>
      <c r="AI813" s="7"/>
      <c r="AJ813" s="10" t="s">
        <v>2365</v>
      </c>
      <c r="AK813" s="7"/>
      <c r="AL813" s="9"/>
      <c r="AM813" s="7" t="s">
        <v>42</v>
      </c>
      <c r="AN813" s="7" t="s">
        <v>42</v>
      </c>
      <c r="AO813" s="15" t="s">
        <v>2576</v>
      </c>
    </row>
    <row r="814" spans="1:41" s="11" customFormat="1" ht="48" x14ac:dyDescent="0.25">
      <c r="A814" s="2">
        <v>813</v>
      </c>
      <c r="B814" s="7" t="s">
        <v>696</v>
      </c>
      <c r="C814" s="7" t="s">
        <v>174</v>
      </c>
      <c r="D814" s="7" t="s">
        <v>697</v>
      </c>
      <c r="E814" s="7">
        <f>47+28+14+3</f>
        <v>92</v>
      </c>
      <c r="F814" s="8">
        <v>1</v>
      </c>
      <c r="G814" s="9" t="s">
        <v>341</v>
      </c>
      <c r="H814" s="7">
        <v>7</v>
      </c>
      <c r="I814" s="7">
        <v>7</v>
      </c>
      <c r="J814" s="9" t="s">
        <v>35</v>
      </c>
      <c r="K814" s="7">
        <v>1</v>
      </c>
      <c r="L814" s="7" t="s">
        <v>52</v>
      </c>
      <c r="M814" s="7">
        <f t="shared" si="57"/>
        <v>1</v>
      </c>
      <c r="N814" s="9" t="s">
        <v>34</v>
      </c>
      <c r="O814" s="7">
        <v>0</v>
      </c>
      <c r="P814" s="9" t="s">
        <v>33</v>
      </c>
      <c r="Q814" s="7" t="s">
        <v>38</v>
      </c>
      <c r="R814" s="7" t="s">
        <v>38</v>
      </c>
      <c r="S814" s="10" t="s">
        <v>1937</v>
      </c>
      <c r="T814" s="7">
        <v>12</v>
      </c>
      <c r="U814" s="7">
        <v>12</v>
      </c>
      <c r="V814" s="7">
        <v>90</v>
      </c>
      <c r="W814" s="7" t="s">
        <v>83</v>
      </c>
      <c r="X814" s="7">
        <v>5</v>
      </c>
      <c r="Y814" s="7"/>
      <c r="Z814" s="7"/>
      <c r="AA814" s="7"/>
      <c r="AB814" s="7">
        <f t="shared" si="61"/>
        <v>5.666666666666667</v>
      </c>
      <c r="AC814" s="7">
        <f t="shared" si="58"/>
        <v>5.666666666666667</v>
      </c>
      <c r="AD814" s="7"/>
      <c r="AE814" s="7">
        <v>1</v>
      </c>
      <c r="AF814" s="7"/>
      <c r="AG814" s="7" t="s">
        <v>698</v>
      </c>
      <c r="AH814" s="7"/>
      <c r="AI814" s="7"/>
      <c r="AJ814" s="10" t="s">
        <v>2366</v>
      </c>
      <c r="AK814" s="7" t="s">
        <v>252</v>
      </c>
      <c r="AL814" s="9"/>
      <c r="AM814" s="7" t="s">
        <v>42</v>
      </c>
      <c r="AN814" s="7" t="s">
        <v>42</v>
      </c>
      <c r="AO814" s="12"/>
    </row>
    <row r="815" spans="1:41" s="11" customFormat="1" ht="24" x14ac:dyDescent="0.25">
      <c r="A815" s="2">
        <v>814</v>
      </c>
      <c r="B815" s="7" t="s">
        <v>693</v>
      </c>
      <c r="C815" s="7" t="s">
        <v>269</v>
      </c>
      <c r="D815" s="7" t="s">
        <v>699</v>
      </c>
      <c r="E815" s="7">
        <v>13</v>
      </c>
      <c r="F815" s="8">
        <v>1</v>
      </c>
      <c r="G815" s="8">
        <v>2</v>
      </c>
      <c r="H815" s="7">
        <v>2</v>
      </c>
      <c r="I815" s="7">
        <v>2</v>
      </c>
      <c r="J815" s="9" t="s">
        <v>35</v>
      </c>
      <c r="K815" s="7">
        <v>2</v>
      </c>
      <c r="L815" s="7" t="s">
        <v>52</v>
      </c>
      <c r="M815" s="7">
        <f t="shared" si="57"/>
        <v>1</v>
      </c>
      <c r="N815" s="9" t="s">
        <v>34</v>
      </c>
      <c r="O815" s="7">
        <v>0</v>
      </c>
      <c r="P815" s="9" t="s">
        <v>33</v>
      </c>
      <c r="Q815" s="7" t="s">
        <v>38</v>
      </c>
      <c r="R815" s="7" t="s">
        <v>38</v>
      </c>
      <c r="S815" s="10" t="s">
        <v>1589</v>
      </c>
      <c r="T815" s="7">
        <v>11</v>
      </c>
      <c r="U815" s="7">
        <v>11</v>
      </c>
      <c r="V815" s="7">
        <v>100</v>
      </c>
      <c r="W815" s="7" t="s">
        <v>83</v>
      </c>
      <c r="X815" s="7">
        <v>3</v>
      </c>
      <c r="Y815" s="7"/>
      <c r="Z815" s="7"/>
      <c r="AA815" s="7"/>
      <c r="AB815" s="7">
        <f t="shared" si="61"/>
        <v>4.666666666666667</v>
      </c>
      <c r="AC815" s="7">
        <f t="shared" si="58"/>
        <v>4.666666666666667</v>
      </c>
      <c r="AD815" s="7"/>
      <c r="AE815" s="7">
        <v>1</v>
      </c>
      <c r="AF815" s="7"/>
      <c r="AG815" s="7" t="s">
        <v>700</v>
      </c>
      <c r="AH815" s="7"/>
      <c r="AI815" s="7"/>
      <c r="AJ815" s="7"/>
      <c r="AK815" s="7" t="s">
        <v>252</v>
      </c>
      <c r="AL815" s="9"/>
      <c r="AM815" s="7" t="s">
        <v>42</v>
      </c>
      <c r="AN815" s="7" t="s">
        <v>42</v>
      </c>
      <c r="AO815" s="12"/>
    </row>
    <row r="816" spans="1:41" s="11" customFormat="1" x14ac:dyDescent="0.25">
      <c r="A816" s="2">
        <v>815</v>
      </c>
      <c r="B816" s="7" t="s">
        <v>693</v>
      </c>
      <c r="C816" s="7" t="s">
        <v>104</v>
      </c>
      <c r="D816" s="7" t="s">
        <v>701</v>
      </c>
      <c r="E816" s="7">
        <v>13</v>
      </c>
      <c r="F816" s="8">
        <v>1</v>
      </c>
      <c r="G816" s="9" t="s">
        <v>124</v>
      </c>
      <c r="H816" s="7">
        <v>4</v>
      </c>
      <c r="I816" s="7">
        <v>4</v>
      </c>
      <c r="J816" s="9" t="s">
        <v>35</v>
      </c>
      <c r="K816" s="7">
        <v>2</v>
      </c>
      <c r="L816" s="7" t="s">
        <v>52</v>
      </c>
      <c r="M816" s="7">
        <f t="shared" si="57"/>
        <v>1</v>
      </c>
      <c r="N816" s="9" t="s">
        <v>34</v>
      </c>
      <c r="O816" s="7">
        <v>0</v>
      </c>
      <c r="P816" s="9" t="s">
        <v>63</v>
      </c>
      <c r="Q816" s="7" t="s">
        <v>38</v>
      </c>
      <c r="R816" s="7" t="s">
        <v>38</v>
      </c>
      <c r="S816" s="10" t="s">
        <v>1624</v>
      </c>
      <c r="T816" s="7"/>
      <c r="U816" s="7"/>
      <c r="V816" s="7"/>
      <c r="W816" s="7"/>
      <c r="X816" s="7">
        <v>3</v>
      </c>
      <c r="Y816" s="7"/>
      <c r="Z816" s="7"/>
      <c r="AA816" s="7"/>
      <c r="AB816" s="7">
        <f t="shared" si="61"/>
        <v>1</v>
      </c>
      <c r="AC816" s="7">
        <f t="shared" si="58"/>
        <v>1</v>
      </c>
      <c r="AD816" s="7"/>
      <c r="AE816" s="7">
        <v>1</v>
      </c>
      <c r="AF816" s="7" t="s">
        <v>40</v>
      </c>
      <c r="AG816" s="7" t="s">
        <v>702</v>
      </c>
      <c r="AH816" s="7" t="s">
        <v>38</v>
      </c>
      <c r="AI816" s="7"/>
      <c r="AJ816" s="7"/>
      <c r="AK816" s="7"/>
      <c r="AL816" s="9"/>
      <c r="AM816" s="7" t="s">
        <v>42</v>
      </c>
      <c r="AN816" s="7" t="s">
        <v>42</v>
      </c>
      <c r="AO816" s="12"/>
    </row>
    <row r="817" spans="1:41" s="11" customFormat="1" x14ac:dyDescent="0.25">
      <c r="A817" s="2">
        <v>816</v>
      </c>
      <c r="B817" s="7" t="s">
        <v>693</v>
      </c>
      <c r="C817" s="7" t="s">
        <v>89</v>
      </c>
      <c r="D817" s="7" t="s">
        <v>703</v>
      </c>
      <c r="E817" s="7">
        <v>25</v>
      </c>
      <c r="F817" s="8">
        <v>1</v>
      </c>
      <c r="G817" s="9" t="s">
        <v>196</v>
      </c>
      <c r="H817" s="7">
        <v>2</v>
      </c>
      <c r="I817" s="7">
        <v>2</v>
      </c>
      <c r="J817" s="9" t="s">
        <v>35</v>
      </c>
      <c r="K817" s="7">
        <v>2</v>
      </c>
      <c r="L817" s="7" t="s">
        <v>52</v>
      </c>
      <c r="M817" s="7">
        <f t="shared" si="57"/>
        <v>1</v>
      </c>
      <c r="N817" s="9" t="s">
        <v>34</v>
      </c>
      <c r="O817" s="7">
        <v>0</v>
      </c>
      <c r="P817" s="9" t="s">
        <v>33</v>
      </c>
      <c r="Q817" s="7" t="s">
        <v>38</v>
      </c>
      <c r="R817" s="7" t="s">
        <v>38</v>
      </c>
      <c r="S817" s="10" t="s">
        <v>1938</v>
      </c>
      <c r="T817" s="7"/>
      <c r="U817" s="7"/>
      <c r="V817" s="7"/>
      <c r="W817" s="7"/>
      <c r="X817" s="7">
        <v>3</v>
      </c>
      <c r="Y817" s="7"/>
      <c r="Z817" s="7"/>
      <c r="AA817" s="7"/>
      <c r="AB817" s="7">
        <f t="shared" si="61"/>
        <v>1</v>
      </c>
      <c r="AC817" s="7">
        <f t="shared" si="58"/>
        <v>1</v>
      </c>
      <c r="AD817" s="7"/>
      <c r="AE817" s="7">
        <v>1</v>
      </c>
      <c r="AF817" s="7" t="s">
        <v>40</v>
      </c>
      <c r="AG817" s="7" t="s">
        <v>704</v>
      </c>
      <c r="AH817" s="7"/>
      <c r="AI817" s="7"/>
      <c r="AJ817" s="7"/>
      <c r="AK817" s="10" t="s">
        <v>2459</v>
      </c>
      <c r="AL817" s="9"/>
      <c r="AM817" s="7" t="s">
        <v>42</v>
      </c>
      <c r="AN817" s="7" t="s">
        <v>42</v>
      </c>
      <c r="AO817" s="12"/>
    </row>
    <row r="818" spans="1:41" s="11" customFormat="1" ht="24" x14ac:dyDescent="0.25">
      <c r="A818" s="2">
        <v>817</v>
      </c>
      <c r="B818" s="7" t="s">
        <v>696</v>
      </c>
      <c r="C818" s="7" t="s">
        <v>32</v>
      </c>
      <c r="D818" s="7" t="s">
        <v>705</v>
      </c>
      <c r="E818" s="7">
        <f>133+21+17</f>
        <v>171</v>
      </c>
      <c r="F818" s="8">
        <v>1</v>
      </c>
      <c r="G818" s="9" t="s">
        <v>706</v>
      </c>
      <c r="H818" s="7">
        <v>4</v>
      </c>
      <c r="I818" s="7">
        <v>4</v>
      </c>
      <c r="J818" s="7" t="s">
        <v>1489</v>
      </c>
      <c r="K818" s="7">
        <v>2</v>
      </c>
      <c r="L818" s="7" t="s">
        <v>52</v>
      </c>
      <c r="M818" s="7">
        <f t="shared" si="57"/>
        <v>1</v>
      </c>
      <c r="N818" s="9" t="s">
        <v>34</v>
      </c>
      <c r="O818" s="7">
        <v>1</v>
      </c>
      <c r="P818" s="9" t="s">
        <v>63</v>
      </c>
      <c r="Q818" s="7" t="s">
        <v>38</v>
      </c>
      <c r="R818" s="7" t="s">
        <v>38</v>
      </c>
      <c r="S818" s="10" t="s">
        <v>1939</v>
      </c>
      <c r="T818" s="7"/>
      <c r="U818" s="7"/>
      <c r="V818" s="7"/>
      <c r="W818" s="7"/>
      <c r="X818" s="7">
        <v>5</v>
      </c>
      <c r="Y818" s="7">
        <v>100</v>
      </c>
      <c r="Z818" s="7">
        <v>100</v>
      </c>
      <c r="AA818" s="7">
        <v>66</v>
      </c>
      <c r="AB818" s="7">
        <f t="shared" si="61"/>
        <v>35</v>
      </c>
      <c r="AC818" s="7">
        <f t="shared" si="58"/>
        <v>35</v>
      </c>
      <c r="AD818" s="7"/>
      <c r="AE818" s="7">
        <v>3</v>
      </c>
      <c r="AF818" s="7" t="s">
        <v>40</v>
      </c>
      <c r="AG818" s="7" t="s">
        <v>707</v>
      </c>
      <c r="AH818" s="7" t="s">
        <v>38</v>
      </c>
      <c r="AI818" s="7"/>
      <c r="AJ818" s="10" t="s">
        <v>2367</v>
      </c>
      <c r="AK818" s="7"/>
      <c r="AL818" s="9" t="s">
        <v>38</v>
      </c>
      <c r="AM818" s="7" t="s">
        <v>42</v>
      </c>
      <c r="AN818" s="7" t="s">
        <v>42</v>
      </c>
      <c r="AO818" s="12"/>
    </row>
    <row r="819" spans="1:41" s="11" customFormat="1" x14ac:dyDescent="0.25">
      <c r="A819" s="2">
        <v>818</v>
      </c>
      <c r="B819" s="7" t="s">
        <v>693</v>
      </c>
      <c r="C819" s="7" t="s">
        <v>78</v>
      </c>
      <c r="D819" s="7">
        <v>8</v>
      </c>
      <c r="E819" s="7">
        <v>8</v>
      </c>
      <c r="F819" s="8">
        <v>1</v>
      </c>
      <c r="G819" s="8">
        <v>1</v>
      </c>
      <c r="H819" s="7">
        <v>1</v>
      </c>
      <c r="I819" s="7">
        <v>1</v>
      </c>
      <c r="J819" s="9" t="s">
        <v>35</v>
      </c>
      <c r="K819" s="7">
        <v>1</v>
      </c>
      <c r="L819" s="7" t="s">
        <v>52</v>
      </c>
      <c r="M819" s="7">
        <f t="shared" si="57"/>
        <v>1</v>
      </c>
      <c r="N819" s="9" t="s">
        <v>34</v>
      </c>
      <c r="O819" s="7">
        <v>0</v>
      </c>
      <c r="P819" s="9" t="s">
        <v>33</v>
      </c>
      <c r="Q819" s="7" t="s">
        <v>38</v>
      </c>
      <c r="R819" s="7" t="s">
        <v>38</v>
      </c>
      <c r="S819" s="7"/>
      <c r="T819" s="7">
        <v>25</v>
      </c>
      <c r="U819" s="7">
        <v>25</v>
      </c>
      <c r="V819" s="7">
        <v>70</v>
      </c>
      <c r="W819" s="7" t="s">
        <v>88</v>
      </c>
      <c r="X819" s="7"/>
      <c r="Y819" s="7"/>
      <c r="Z819" s="7"/>
      <c r="AA819" s="7"/>
      <c r="AB819" s="7">
        <f t="shared" si="61"/>
        <v>8.3333333333333339</v>
      </c>
      <c r="AC819" s="7">
        <f t="shared" si="58"/>
        <v>8.3333333333333339</v>
      </c>
      <c r="AD819" s="7"/>
      <c r="AE819" s="7"/>
      <c r="AF819" s="7"/>
      <c r="AG819" s="7"/>
      <c r="AH819" s="7"/>
      <c r="AI819" s="7"/>
      <c r="AJ819" s="7"/>
      <c r="AK819" s="10" t="s">
        <v>2460</v>
      </c>
      <c r="AL819" s="9"/>
      <c r="AM819" s="7" t="s">
        <v>42</v>
      </c>
      <c r="AN819" s="7" t="s">
        <v>42</v>
      </c>
      <c r="AO819" s="12"/>
    </row>
    <row r="820" spans="1:41" s="11" customFormat="1" ht="24" x14ac:dyDescent="0.25">
      <c r="A820" s="2">
        <v>819</v>
      </c>
      <c r="B820" s="7" t="s">
        <v>693</v>
      </c>
      <c r="C820" s="7" t="s">
        <v>78</v>
      </c>
      <c r="D820" s="7">
        <v>6</v>
      </c>
      <c r="E820" s="7">
        <v>6</v>
      </c>
      <c r="F820" s="8">
        <v>1</v>
      </c>
      <c r="G820" s="8">
        <v>1</v>
      </c>
      <c r="H820" s="7">
        <v>1</v>
      </c>
      <c r="I820" s="7">
        <v>1</v>
      </c>
      <c r="J820" s="9" t="s">
        <v>35</v>
      </c>
      <c r="K820" s="7">
        <v>1</v>
      </c>
      <c r="L820" s="7" t="s">
        <v>52</v>
      </c>
      <c r="M820" s="7">
        <f t="shared" si="57"/>
        <v>1</v>
      </c>
      <c r="N820" s="9" t="s">
        <v>34</v>
      </c>
      <c r="O820" s="7">
        <v>1</v>
      </c>
      <c r="P820" s="9" t="s">
        <v>63</v>
      </c>
      <c r="Q820" s="7" t="s">
        <v>38</v>
      </c>
      <c r="R820" s="7" t="s">
        <v>38</v>
      </c>
      <c r="S820" s="10" t="s">
        <v>1940</v>
      </c>
      <c r="T820" s="7">
        <v>15</v>
      </c>
      <c r="U820" s="7">
        <v>15</v>
      </c>
      <c r="V820" s="7">
        <v>80</v>
      </c>
      <c r="W820" s="7" t="s">
        <v>83</v>
      </c>
      <c r="X820" s="7"/>
      <c r="Y820" s="7"/>
      <c r="Z820" s="7"/>
      <c r="AA820" s="7"/>
      <c r="AB820" s="7">
        <f t="shared" si="61"/>
        <v>5</v>
      </c>
      <c r="AC820" s="7">
        <f t="shared" si="58"/>
        <v>5</v>
      </c>
      <c r="AD820" s="7"/>
      <c r="AE820" s="7"/>
      <c r="AF820" s="7"/>
      <c r="AG820" s="7"/>
      <c r="AH820" s="7"/>
      <c r="AI820" s="7"/>
      <c r="AJ820" s="7"/>
      <c r="AK820" s="7"/>
      <c r="AL820" s="9"/>
      <c r="AM820" s="7" t="s">
        <v>42</v>
      </c>
      <c r="AN820" s="7" t="s">
        <v>42</v>
      </c>
      <c r="AO820" s="12"/>
    </row>
    <row r="821" spans="1:41" s="11" customFormat="1" x14ac:dyDescent="0.25">
      <c r="A821" s="2">
        <v>820</v>
      </c>
      <c r="B821" s="7" t="s">
        <v>693</v>
      </c>
      <c r="C821" s="7" t="s">
        <v>669</v>
      </c>
      <c r="D821" s="7">
        <v>14</v>
      </c>
      <c r="E821" s="7">
        <v>14</v>
      </c>
      <c r="F821" s="8">
        <v>1</v>
      </c>
      <c r="G821" s="8">
        <v>1</v>
      </c>
      <c r="H821" s="7">
        <v>1</v>
      </c>
      <c r="I821" s="7">
        <v>1</v>
      </c>
      <c r="J821" s="9" t="s">
        <v>35</v>
      </c>
      <c r="K821" s="7">
        <v>2</v>
      </c>
      <c r="L821" s="7" t="s">
        <v>52</v>
      </c>
      <c r="M821" s="7">
        <f t="shared" si="57"/>
        <v>1</v>
      </c>
      <c r="N821" s="9" t="s">
        <v>34</v>
      </c>
      <c r="O821" s="7">
        <v>1</v>
      </c>
      <c r="P821" s="9" t="s">
        <v>33</v>
      </c>
      <c r="Q821" s="7" t="s">
        <v>52</v>
      </c>
      <c r="R821" s="7" t="s">
        <v>38</v>
      </c>
      <c r="S821" s="10" t="s">
        <v>1941</v>
      </c>
      <c r="T821" s="7"/>
      <c r="U821" s="7"/>
      <c r="V821" s="7"/>
      <c r="W821" s="7"/>
      <c r="X821" s="7">
        <v>3</v>
      </c>
      <c r="Y821" s="7"/>
      <c r="Z821" s="7"/>
      <c r="AA821" s="7"/>
      <c r="AB821" s="7">
        <f t="shared" si="61"/>
        <v>1</v>
      </c>
      <c r="AC821" s="7">
        <f t="shared" si="58"/>
        <v>1</v>
      </c>
      <c r="AD821" s="7">
        <v>1</v>
      </c>
      <c r="AE821" s="7"/>
      <c r="AF821" s="7" t="s">
        <v>669</v>
      </c>
      <c r="AG821" s="7" t="s">
        <v>708</v>
      </c>
      <c r="AH821" s="7"/>
      <c r="AI821" s="7"/>
      <c r="AJ821" s="10" t="s">
        <v>2359</v>
      </c>
      <c r="AK821" s="7"/>
      <c r="AL821" s="9"/>
      <c r="AM821" s="7" t="s">
        <v>67</v>
      </c>
      <c r="AN821" s="7" t="s">
        <v>2847</v>
      </c>
      <c r="AO821" s="12"/>
    </row>
    <row r="822" spans="1:41" s="11" customFormat="1" x14ac:dyDescent="0.25">
      <c r="A822" s="2">
        <v>821</v>
      </c>
      <c r="B822" s="7" t="s">
        <v>693</v>
      </c>
      <c r="C822" s="7"/>
      <c r="D822" s="7"/>
      <c r="E822" s="7"/>
      <c r="F822" s="9"/>
      <c r="G822" s="9"/>
      <c r="H822" s="7"/>
      <c r="I822" s="7"/>
      <c r="J822" s="9"/>
      <c r="K822" s="7"/>
      <c r="L822" s="7"/>
      <c r="M822" s="7">
        <f t="shared" si="57"/>
        <v>0</v>
      </c>
      <c r="N822" s="9"/>
      <c r="O822" s="7"/>
      <c r="P822" s="9"/>
      <c r="Q822" s="7"/>
      <c r="R822" s="7"/>
      <c r="S822" s="7"/>
      <c r="T822" s="7"/>
      <c r="U822" s="7"/>
      <c r="V822" s="7"/>
      <c r="W822" s="7"/>
      <c r="X822" s="7"/>
      <c r="Y822" s="7"/>
      <c r="Z822" s="7"/>
      <c r="AA822" s="7"/>
      <c r="AB822" s="7">
        <v>0.33333333333333298</v>
      </c>
      <c r="AC822" s="7">
        <f t="shared" si="58"/>
        <v>0</v>
      </c>
      <c r="AD822" s="7"/>
      <c r="AE822" s="7"/>
      <c r="AF822" s="7"/>
      <c r="AG822" s="7"/>
      <c r="AH822" s="7"/>
      <c r="AI822" s="7"/>
      <c r="AJ822" s="7"/>
      <c r="AK822" s="7"/>
      <c r="AL822" s="9"/>
      <c r="AM822" s="7"/>
      <c r="AN822" s="7"/>
      <c r="AO822" s="15" t="s">
        <v>2577</v>
      </c>
    </row>
    <row r="823" spans="1:41" s="11" customFormat="1" x14ac:dyDescent="0.25">
      <c r="A823" s="2">
        <v>822</v>
      </c>
      <c r="B823" s="7" t="s">
        <v>709</v>
      </c>
      <c r="C823" s="7" t="s">
        <v>89</v>
      </c>
      <c r="D823" s="7" t="s">
        <v>130</v>
      </c>
      <c r="E823" s="7">
        <v>9</v>
      </c>
      <c r="F823" s="8">
        <v>1</v>
      </c>
      <c r="G823" s="9" t="s">
        <v>196</v>
      </c>
      <c r="H823" s="7">
        <v>2</v>
      </c>
      <c r="I823" s="7">
        <v>2</v>
      </c>
      <c r="J823" s="9" t="s">
        <v>35</v>
      </c>
      <c r="K823" s="7">
        <v>2</v>
      </c>
      <c r="L823" s="7" t="s">
        <v>52</v>
      </c>
      <c r="M823" s="7">
        <f t="shared" si="57"/>
        <v>1</v>
      </c>
      <c r="N823" s="9" t="s">
        <v>34</v>
      </c>
      <c r="O823" s="7">
        <v>1</v>
      </c>
      <c r="P823" s="9" t="s">
        <v>37</v>
      </c>
      <c r="Q823" s="7" t="s">
        <v>52</v>
      </c>
      <c r="R823" s="7" t="s">
        <v>38</v>
      </c>
      <c r="S823" s="7"/>
      <c r="T823" s="7"/>
      <c r="U823" s="7"/>
      <c r="V823" s="7"/>
      <c r="W823" s="7"/>
      <c r="X823" s="7">
        <v>3</v>
      </c>
      <c r="Y823" s="7"/>
      <c r="Z823" s="7"/>
      <c r="AA823" s="7"/>
      <c r="AB823" s="7">
        <f>(U823+X823+Z823)/3</f>
        <v>1</v>
      </c>
      <c r="AC823" s="7">
        <f t="shared" si="58"/>
        <v>1</v>
      </c>
      <c r="AD823" s="7"/>
      <c r="AE823" s="7"/>
      <c r="AF823" s="7"/>
      <c r="AG823" s="7"/>
      <c r="AH823" s="7"/>
      <c r="AI823" s="7"/>
      <c r="AJ823" s="7" t="s">
        <v>2359</v>
      </c>
      <c r="AK823" s="7"/>
      <c r="AL823" s="9"/>
      <c r="AM823" s="7" t="s">
        <v>67</v>
      </c>
      <c r="AN823" s="7" t="s">
        <v>2847</v>
      </c>
      <c r="AO823" s="12"/>
    </row>
    <row r="824" spans="1:41" s="11" customFormat="1" ht="24" x14ac:dyDescent="0.25">
      <c r="A824" s="2">
        <v>823</v>
      </c>
      <c r="B824" s="7" t="s">
        <v>693</v>
      </c>
      <c r="C824" s="7" t="s">
        <v>78</v>
      </c>
      <c r="D824" s="7">
        <v>5</v>
      </c>
      <c r="E824" s="7">
        <v>5</v>
      </c>
      <c r="F824" s="8">
        <v>1</v>
      </c>
      <c r="G824" s="8">
        <v>1</v>
      </c>
      <c r="H824" s="7">
        <v>1</v>
      </c>
      <c r="I824" s="7">
        <v>1</v>
      </c>
      <c r="J824" s="9" t="s">
        <v>35</v>
      </c>
      <c r="K824" s="7">
        <v>1</v>
      </c>
      <c r="L824" s="7" t="s">
        <v>52</v>
      </c>
      <c r="M824" s="7">
        <f t="shared" si="57"/>
        <v>1</v>
      </c>
      <c r="N824" s="9" t="s">
        <v>34</v>
      </c>
      <c r="O824" s="7">
        <v>0</v>
      </c>
      <c r="P824" s="9" t="s">
        <v>34</v>
      </c>
      <c r="Q824" s="7" t="s">
        <v>38</v>
      </c>
      <c r="R824" s="7" t="s">
        <v>38</v>
      </c>
      <c r="S824" s="7"/>
      <c r="T824" s="7">
        <v>10</v>
      </c>
      <c r="U824" s="7">
        <v>10</v>
      </c>
      <c r="V824" s="7">
        <v>90</v>
      </c>
      <c r="W824" s="7" t="s">
        <v>83</v>
      </c>
      <c r="X824" s="7"/>
      <c r="Y824" s="7"/>
      <c r="Z824" s="7"/>
      <c r="AA824" s="7"/>
      <c r="AB824" s="7">
        <f>(U824+X824+Z824)/3</f>
        <v>3.3333333333333335</v>
      </c>
      <c r="AC824" s="7">
        <f t="shared" si="58"/>
        <v>3.3333333333333335</v>
      </c>
      <c r="AD824" s="7"/>
      <c r="AE824" s="7"/>
      <c r="AF824" s="7"/>
      <c r="AG824" s="7"/>
      <c r="AH824" s="7"/>
      <c r="AI824" s="7"/>
      <c r="AJ824" s="7"/>
      <c r="AK824" s="7"/>
      <c r="AL824" s="9"/>
      <c r="AM824" s="7" t="s">
        <v>42</v>
      </c>
      <c r="AN824" s="7" t="s">
        <v>42</v>
      </c>
      <c r="AO824" s="12"/>
    </row>
    <row r="825" spans="1:41" s="11" customFormat="1" ht="24" x14ac:dyDescent="0.25">
      <c r="A825" s="2">
        <v>824</v>
      </c>
      <c r="B825" s="7" t="s">
        <v>693</v>
      </c>
      <c r="C825" s="7" t="s">
        <v>78</v>
      </c>
      <c r="D825" s="7">
        <v>2</v>
      </c>
      <c r="E825" s="7">
        <v>2</v>
      </c>
      <c r="F825" s="8">
        <v>1</v>
      </c>
      <c r="G825" s="8">
        <v>1</v>
      </c>
      <c r="H825" s="7">
        <v>1</v>
      </c>
      <c r="I825" s="7">
        <v>1</v>
      </c>
      <c r="J825" s="9" t="s">
        <v>35</v>
      </c>
      <c r="K825" s="7">
        <v>2</v>
      </c>
      <c r="L825" s="7" t="s">
        <v>52</v>
      </c>
      <c r="M825" s="7">
        <f t="shared" si="57"/>
        <v>1</v>
      </c>
      <c r="N825" s="9" t="s">
        <v>34</v>
      </c>
      <c r="O825" s="7">
        <v>1</v>
      </c>
      <c r="P825" s="9" t="s">
        <v>63</v>
      </c>
      <c r="Q825" s="7" t="s">
        <v>38</v>
      </c>
      <c r="R825" s="7" t="s">
        <v>38</v>
      </c>
      <c r="S825" s="7"/>
      <c r="T825" s="7">
        <v>9</v>
      </c>
      <c r="U825" s="7">
        <v>9</v>
      </c>
      <c r="V825" s="7">
        <v>90</v>
      </c>
      <c r="W825" s="7" t="s">
        <v>83</v>
      </c>
      <c r="X825" s="7"/>
      <c r="Y825" s="7"/>
      <c r="Z825" s="7"/>
      <c r="AA825" s="7"/>
      <c r="AB825" s="7">
        <f>(U825+X825+Z825)/3</f>
        <v>3</v>
      </c>
      <c r="AC825" s="7">
        <f t="shared" si="58"/>
        <v>3</v>
      </c>
      <c r="AD825" s="7"/>
      <c r="AE825" s="7"/>
      <c r="AF825" s="7"/>
      <c r="AG825" s="7"/>
      <c r="AH825" s="7"/>
      <c r="AI825" s="7"/>
      <c r="AJ825" s="7"/>
      <c r="AK825" s="7"/>
      <c r="AL825" s="9"/>
      <c r="AM825" s="7" t="s">
        <v>42</v>
      </c>
      <c r="AN825" s="7" t="s">
        <v>42</v>
      </c>
      <c r="AO825" s="12"/>
    </row>
    <row r="826" spans="1:41" s="11" customFormat="1" x14ac:dyDescent="0.25">
      <c r="A826" s="2">
        <v>825</v>
      </c>
      <c r="B826" s="7" t="s">
        <v>693</v>
      </c>
      <c r="C826" s="7" t="s">
        <v>104</v>
      </c>
      <c r="D826" s="7">
        <v>12</v>
      </c>
      <c r="E826" s="7">
        <v>12</v>
      </c>
      <c r="F826" s="8">
        <v>1</v>
      </c>
      <c r="G826" s="8">
        <v>1</v>
      </c>
      <c r="H826" s="7">
        <v>1</v>
      </c>
      <c r="I826" s="7">
        <v>1</v>
      </c>
      <c r="J826" s="9" t="s">
        <v>35</v>
      </c>
      <c r="K826" s="7">
        <v>2</v>
      </c>
      <c r="L826" s="7" t="s">
        <v>52</v>
      </c>
      <c r="M826" s="7">
        <f t="shared" si="57"/>
        <v>1</v>
      </c>
      <c r="N826" s="9" t="s">
        <v>34</v>
      </c>
      <c r="O826" s="7">
        <v>0</v>
      </c>
      <c r="P826" s="9" t="s">
        <v>63</v>
      </c>
      <c r="Q826" s="7" t="s">
        <v>38</v>
      </c>
      <c r="R826" s="7" t="s">
        <v>38</v>
      </c>
      <c r="S826" s="10" t="s">
        <v>1927</v>
      </c>
      <c r="T826" s="7"/>
      <c r="U826" s="7"/>
      <c r="V826" s="7"/>
      <c r="W826" s="7"/>
      <c r="X826" s="7">
        <v>3</v>
      </c>
      <c r="Y826" s="7"/>
      <c r="Z826" s="7"/>
      <c r="AA826" s="7"/>
      <c r="AB826" s="7">
        <f>(U826+X826+Z826)/3</f>
        <v>1</v>
      </c>
      <c r="AC826" s="7">
        <f t="shared" si="58"/>
        <v>1</v>
      </c>
      <c r="AD826" s="7"/>
      <c r="AE826" s="7">
        <v>1</v>
      </c>
      <c r="AF826" s="7"/>
      <c r="AG826" s="7"/>
      <c r="AH826" s="7"/>
      <c r="AI826" s="7"/>
      <c r="AJ826" s="7"/>
      <c r="AK826" s="7"/>
      <c r="AL826" s="9"/>
      <c r="AM826" s="7" t="s">
        <v>71</v>
      </c>
      <c r="AN826" s="7" t="s">
        <v>71</v>
      </c>
      <c r="AO826" s="7"/>
    </row>
    <row r="827" spans="1:41" s="11" customFormat="1" ht="24" x14ac:dyDescent="0.25">
      <c r="A827" s="2">
        <v>826</v>
      </c>
      <c r="B827" s="7" t="s">
        <v>693</v>
      </c>
      <c r="C827" s="7" t="s">
        <v>119</v>
      </c>
      <c r="D827" s="7">
        <v>10</v>
      </c>
      <c r="E827" s="7">
        <v>10</v>
      </c>
      <c r="F827" s="8">
        <v>1</v>
      </c>
      <c r="G827" s="8">
        <v>1</v>
      </c>
      <c r="H827" s="7">
        <v>1</v>
      </c>
      <c r="I827" s="7">
        <v>1</v>
      </c>
      <c r="J827" s="9" t="s">
        <v>35</v>
      </c>
      <c r="K827" s="7">
        <v>2</v>
      </c>
      <c r="L827" s="7" t="s">
        <v>52</v>
      </c>
      <c r="M827" s="7">
        <f t="shared" si="57"/>
        <v>1</v>
      </c>
      <c r="N827" s="9" t="s">
        <v>34</v>
      </c>
      <c r="O827" s="7">
        <v>0</v>
      </c>
      <c r="P827" s="9" t="s">
        <v>63</v>
      </c>
      <c r="Q827" s="7"/>
      <c r="R827" s="7" t="s">
        <v>38</v>
      </c>
      <c r="S827" s="10" t="s">
        <v>1942</v>
      </c>
      <c r="T827" s="7"/>
      <c r="U827" s="7"/>
      <c r="V827" s="7"/>
      <c r="W827" s="7"/>
      <c r="X827" s="7"/>
      <c r="Y827" s="7"/>
      <c r="Z827" s="7"/>
      <c r="AA827" s="7"/>
      <c r="AB827" s="7">
        <v>0.33333333333333298</v>
      </c>
      <c r="AC827" s="7">
        <f t="shared" si="58"/>
        <v>0.33333333333333298</v>
      </c>
      <c r="AD827" s="7">
        <v>1</v>
      </c>
      <c r="AE827" s="7"/>
      <c r="AF827" s="7" t="s">
        <v>40</v>
      </c>
      <c r="AG827" s="7" t="s">
        <v>710</v>
      </c>
      <c r="AH827" s="7"/>
      <c r="AI827" s="7"/>
      <c r="AJ827" s="7"/>
      <c r="AK827" s="7"/>
      <c r="AL827" s="9"/>
      <c r="AM827" s="7" t="s">
        <v>71</v>
      </c>
      <c r="AN827" s="7" t="s">
        <v>71</v>
      </c>
      <c r="AO827" s="12"/>
    </row>
    <row r="828" spans="1:41" s="11" customFormat="1" x14ac:dyDescent="0.25">
      <c r="A828" s="2">
        <v>827</v>
      </c>
      <c r="B828" s="7" t="s">
        <v>693</v>
      </c>
      <c r="C828" s="7" t="s">
        <v>119</v>
      </c>
      <c r="D828" s="7">
        <v>4</v>
      </c>
      <c r="E828" s="7">
        <v>4</v>
      </c>
      <c r="F828" s="8">
        <v>1</v>
      </c>
      <c r="G828" s="8">
        <v>1</v>
      </c>
      <c r="H828" s="7">
        <v>1</v>
      </c>
      <c r="I828" s="7">
        <v>1</v>
      </c>
      <c r="J828" s="9" t="s">
        <v>35</v>
      </c>
      <c r="K828" s="7">
        <v>2</v>
      </c>
      <c r="L828" s="7" t="s">
        <v>52</v>
      </c>
      <c r="M828" s="7">
        <f t="shared" si="57"/>
        <v>1</v>
      </c>
      <c r="N828" s="9" t="s">
        <v>34</v>
      </c>
      <c r="O828" s="7">
        <v>0</v>
      </c>
      <c r="P828" s="9" t="s">
        <v>63</v>
      </c>
      <c r="Q828" s="7"/>
      <c r="R828" s="7" t="s">
        <v>38</v>
      </c>
      <c r="S828" s="10" t="s">
        <v>1943</v>
      </c>
      <c r="T828" s="7"/>
      <c r="U828" s="7"/>
      <c r="V828" s="7"/>
      <c r="W828" s="7"/>
      <c r="X828" s="7"/>
      <c r="Y828" s="7"/>
      <c r="Z828" s="7"/>
      <c r="AA828" s="7"/>
      <c r="AB828" s="7">
        <v>0.33333333333333298</v>
      </c>
      <c r="AC828" s="7">
        <f t="shared" si="58"/>
        <v>0.33333333333333298</v>
      </c>
      <c r="AD828" s="7">
        <v>1</v>
      </c>
      <c r="AE828" s="7"/>
      <c r="AF828" s="7" t="s">
        <v>40</v>
      </c>
      <c r="AG828" s="7" t="s">
        <v>711</v>
      </c>
      <c r="AH828" s="7"/>
      <c r="AI828" s="7"/>
      <c r="AJ828" s="7"/>
      <c r="AK828" s="7"/>
      <c r="AL828" s="9"/>
      <c r="AM828" s="7" t="s">
        <v>71</v>
      </c>
      <c r="AN828" s="7" t="s">
        <v>71</v>
      </c>
      <c r="AO828" s="12"/>
    </row>
    <row r="829" spans="1:41" s="11" customFormat="1" x14ac:dyDescent="0.25">
      <c r="A829" s="2">
        <v>828</v>
      </c>
      <c r="B829" s="7" t="s">
        <v>693</v>
      </c>
      <c r="C829" s="7" t="s">
        <v>89</v>
      </c>
      <c r="D829" s="7" t="s">
        <v>712</v>
      </c>
      <c r="E829" s="7">
        <v>17</v>
      </c>
      <c r="F829" s="8">
        <v>5</v>
      </c>
      <c r="G829" s="8">
        <v>6</v>
      </c>
      <c r="H829" s="7" t="s">
        <v>397</v>
      </c>
      <c r="I829" s="7">
        <v>6</v>
      </c>
      <c r="J829" s="9" t="s">
        <v>35</v>
      </c>
      <c r="K829" s="7">
        <v>1</v>
      </c>
      <c r="L829" s="7" t="s">
        <v>52</v>
      </c>
      <c r="M829" s="7">
        <f t="shared" si="57"/>
        <v>5</v>
      </c>
      <c r="N829" s="9"/>
      <c r="O829" s="7"/>
      <c r="P829" s="9"/>
      <c r="Q829" s="7"/>
      <c r="R829" s="7"/>
      <c r="S829" s="7"/>
      <c r="T829" s="7"/>
      <c r="U829" s="7"/>
      <c r="V829" s="7"/>
      <c r="W829" s="7"/>
      <c r="X829" s="7">
        <v>3</v>
      </c>
      <c r="Y829" s="7"/>
      <c r="Z829" s="7"/>
      <c r="AA829" s="7"/>
      <c r="AB829" s="7">
        <f>(U829+X829+Z829)/3</f>
        <v>1</v>
      </c>
      <c r="AC829" s="7">
        <f t="shared" si="58"/>
        <v>1</v>
      </c>
      <c r="AD829" s="7"/>
      <c r="AE829" s="7"/>
      <c r="AF829" s="7"/>
      <c r="AG829" s="7"/>
      <c r="AH829" s="7"/>
      <c r="AI829" s="7"/>
      <c r="AJ829" s="7"/>
      <c r="AK829" s="7"/>
      <c r="AL829" s="9"/>
      <c r="AM829" s="7" t="s">
        <v>71</v>
      </c>
      <c r="AN829" s="7" t="s">
        <v>71</v>
      </c>
      <c r="AO829" s="12"/>
    </row>
    <row r="830" spans="1:41" s="11" customFormat="1" x14ac:dyDescent="0.25">
      <c r="A830" s="2">
        <v>829</v>
      </c>
      <c r="B830" s="7" t="s">
        <v>693</v>
      </c>
      <c r="C830" s="7" t="s">
        <v>89</v>
      </c>
      <c r="D830" s="7" t="s">
        <v>713</v>
      </c>
      <c r="E830" s="7">
        <f>26+9+6+3</f>
        <v>44</v>
      </c>
      <c r="F830" s="8">
        <v>6</v>
      </c>
      <c r="G830" s="8">
        <v>8</v>
      </c>
      <c r="H830" s="7" t="s">
        <v>258</v>
      </c>
      <c r="I830" s="7">
        <v>8</v>
      </c>
      <c r="J830" s="9" t="s">
        <v>35</v>
      </c>
      <c r="K830" s="7">
        <v>2</v>
      </c>
      <c r="L830" s="7" t="s">
        <v>52</v>
      </c>
      <c r="M830" s="7">
        <f t="shared" si="57"/>
        <v>6</v>
      </c>
      <c r="N830" s="9"/>
      <c r="O830" s="7"/>
      <c r="P830" s="9"/>
      <c r="Q830" s="7"/>
      <c r="R830" s="7"/>
      <c r="S830" s="7"/>
      <c r="T830" s="7"/>
      <c r="U830" s="7"/>
      <c r="V830" s="7"/>
      <c r="W830" s="7"/>
      <c r="X830" s="7">
        <v>3</v>
      </c>
      <c r="Y830" s="7"/>
      <c r="Z830" s="7"/>
      <c r="AA830" s="7"/>
      <c r="AB830" s="7">
        <f>(U830+X830+Z830)/3</f>
        <v>1</v>
      </c>
      <c r="AC830" s="7">
        <f t="shared" si="58"/>
        <v>1</v>
      </c>
      <c r="AD830" s="7"/>
      <c r="AE830" s="7"/>
      <c r="AF830" s="7"/>
      <c r="AG830" s="7"/>
      <c r="AH830" s="7"/>
      <c r="AI830" s="7"/>
      <c r="AJ830" s="7"/>
      <c r="AK830" s="7"/>
      <c r="AL830" s="9"/>
      <c r="AM830" s="7" t="s">
        <v>71</v>
      </c>
      <c r="AN830" s="7" t="s">
        <v>71</v>
      </c>
      <c r="AO830" s="12"/>
    </row>
    <row r="831" spans="1:41" s="11" customFormat="1" x14ac:dyDescent="0.25">
      <c r="A831" s="2">
        <v>830</v>
      </c>
      <c r="B831" s="7" t="s">
        <v>693</v>
      </c>
      <c r="C831" s="7" t="s">
        <v>104</v>
      </c>
      <c r="D831" s="7">
        <v>2</v>
      </c>
      <c r="E831" s="7">
        <v>2</v>
      </c>
      <c r="F831" s="8">
        <v>1</v>
      </c>
      <c r="G831" s="8">
        <v>1</v>
      </c>
      <c r="H831" s="7">
        <v>1</v>
      </c>
      <c r="I831" s="7">
        <v>1</v>
      </c>
      <c r="J831" s="9" t="s">
        <v>35</v>
      </c>
      <c r="K831" s="9" t="s">
        <v>37</v>
      </c>
      <c r="L831" s="7" t="s">
        <v>52</v>
      </c>
      <c r="M831" s="7">
        <f t="shared" si="57"/>
        <v>1</v>
      </c>
      <c r="N831" s="9" t="s">
        <v>37</v>
      </c>
      <c r="O831" s="7">
        <v>0</v>
      </c>
      <c r="P831" s="9" t="s">
        <v>63</v>
      </c>
      <c r="Q831" s="9" t="s">
        <v>38</v>
      </c>
      <c r="R831" s="9" t="s">
        <v>38</v>
      </c>
      <c r="S831" s="10" t="s">
        <v>1927</v>
      </c>
      <c r="T831" s="7"/>
      <c r="U831" s="7"/>
      <c r="V831" s="7"/>
      <c r="W831" s="7"/>
      <c r="X831" s="7">
        <v>3</v>
      </c>
      <c r="Y831" s="7"/>
      <c r="Z831" s="7"/>
      <c r="AA831" s="7"/>
      <c r="AB831" s="7">
        <f>(U831+X831+Z831)/3</f>
        <v>1</v>
      </c>
      <c r="AC831" s="7">
        <f t="shared" si="58"/>
        <v>1</v>
      </c>
      <c r="AD831" s="7"/>
      <c r="AE831" s="7">
        <v>1</v>
      </c>
      <c r="AF831" s="7"/>
      <c r="AG831" s="7" t="s">
        <v>714</v>
      </c>
      <c r="AH831" s="7"/>
      <c r="AI831" s="7"/>
      <c r="AJ831" s="7"/>
      <c r="AK831" s="7"/>
      <c r="AL831" s="9"/>
      <c r="AM831" s="7" t="s">
        <v>71</v>
      </c>
      <c r="AN831" s="7" t="s">
        <v>71</v>
      </c>
      <c r="AO831" s="15" t="s">
        <v>2578</v>
      </c>
    </row>
    <row r="832" spans="1:41" s="11" customFormat="1" x14ac:dyDescent="0.25">
      <c r="A832" s="2">
        <v>831</v>
      </c>
      <c r="B832" s="7" t="s">
        <v>693</v>
      </c>
      <c r="C832" s="7" t="s">
        <v>89</v>
      </c>
      <c r="D832" s="7">
        <v>8</v>
      </c>
      <c r="E832" s="7">
        <v>8</v>
      </c>
      <c r="F832" s="8">
        <v>1</v>
      </c>
      <c r="G832" s="8">
        <v>1</v>
      </c>
      <c r="H832" s="7">
        <v>1</v>
      </c>
      <c r="I832" s="7">
        <v>1</v>
      </c>
      <c r="J832" s="9" t="s">
        <v>77</v>
      </c>
      <c r="K832" s="7">
        <v>1</v>
      </c>
      <c r="L832" s="7" t="s">
        <v>38</v>
      </c>
      <c r="M832" s="7">
        <f t="shared" si="57"/>
        <v>0</v>
      </c>
      <c r="N832" s="9"/>
      <c r="O832" s="7"/>
      <c r="P832" s="9"/>
      <c r="Q832" s="7"/>
      <c r="R832" s="7"/>
      <c r="S832" s="7"/>
      <c r="T832" s="7"/>
      <c r="U832" s="7"/>
      <c r="V832" s="7"/>
      <c r="W832" s="7"/>
      <c r="X832" s="7">
        <v>3</v>
      </c>
      <c r="Y832" s="7"/>
      <c r="Z832" s="7"/>
      <c r="AA832" s="7"/>
      <c r="AB832" s="7">
        <f>(U832+X832+Z832)/3</f>
        <v>1</v>
      </c>
      <c r="AC832" s="7">
        <f t="shared" si="58"/>
        <v>0</v>
      </c>
      <c r="AD832" s="7"/>
      <c r="AE832" s="7"/>
      <c r="AF832" s="7"/>
      <c r="AG832" s="7"/>
      <c r="AH832" s="7"/>
      <c r="AI832" s="7"/>
      <c r="AJ832" s="7"/>
      <c r="AK832" s="7"/>
      <c r="AL832" s="9"/>
      <c r="AM832" s="7" t="s">
        <v>71</v>
      </c>
      <c r="AN832" s="7" t="s">
        <v>71</v>
      </c>
      <c r="AO832" s="15" t="s">
        <v>2579</v>
      </c>
    </row>
    <row r="833" spans="1:41" s="11" customFormat="1" ht="24" x14ac:dyDescent="0.25">
      <c r="A833" s="2">
        <v>832</v>
      </c>
      <c r="B833" s="7" t="s">
        <v>693</v>
      </c>
      <c r="C833" s="7" t="s">
        <v>78</v>
      </c>
      <c r="D833" s="7">
        <v>17</v>
      </c>
      <c r="E833" s="7">
        <v>17</v>
      </c>
      <c r="F833" s="8">
        <v>1</v>
      </c>
      <c r="G833" s="8">
        <v>1</v>
      </c>
      <c r="H833" s="7">
        <v>1</v>
      </c>
      <c r="I833" s="7">
        <v>1</v>
      </c>
      <c r="J833" s="9" t="s">
        <v>35</v>
      </c>
      <c r="K833" s="7">
        <v>2</v>
      </c>
      <c r="L833" s="7" t="s">
        <v>52</v>
      </c>
      <c r="M833" s="7">
        <f t="shared" si="57"/>
        <v>1</v>
      </c>
      <c r="N833" s="9" t="s">
        <v>34</v>
      </c>
      <c r="O833" s="7">
        <v>0</v>
      </c>
      <c r="P833" s="9" t="s">
        <v>34</v>
      </c>
      <c r="Q833" s="7" t="s">
        <v>38</v>
      </c>
      <c r="R833" s="7" t="s">
        <v>38</v>
      </c>
      <c r="S833" s="10" t="s">
        <v>1944</v>
      </c>
      <c r="T833" s="7">
        <v>6</v>
      </c>
      <c r="U833" s="7">
        <v>6</v>
      </c>
      <c r="V833" s="7">
        <v>250</v>
      </c>
      <c r="W833" s="7" t="s">
        <v>715</v>
      </c>
      <c r="X833" s="7"/>
      <c r="Y833" s="7"/>
      <c r="Z833" s="7"/>
      <c r="AA833" s="7"/>
      <c r="AB833" s="7">
        <f>(U833+X833+Z833)/3</f>
        <v>2</v>
      </c>
      <c r="AC833" s="7">
        <f t="shared" si="58"/>
        <v>2</v>
      </c>
      <c r="AD833" s="7"/>
      <c r="AE833" s="7"/>
      <c r="AF833" s="7"/>
      <c r="AG833" s="7"/>
      <c r="AH833" s="7"/>
      <c r="AI833" s="7"/>
      <c r="AJ833" s="7"/>
      <c r="AK833" s="7" t="s">
        <v>252</v>
      </c>
      <c r="AL833" s="9"/>
      <c r="AM833" s="7" t="s">
        <v>716</v>
      </c>
      <c r="AN833" s="7" t="s">
        <v>2848</v>
      </c>
      <c r="AO833" s="15" t="s">
        <v>2580</v>
      </c>
    </row>
    <row r="834" spans="1:41" s="11" customFormat="1" x14ac:dyDescent="0.25">
      <c r="A834" s="2">
        <v>833</v>
      </c>
      <c r="B834" s="7" t="s">
        <v>693</v>
      </c>
      <c r="C834" s="7" t="s">
        <v>119</v>
      </c>
      <c r="D834" s="7">
        <v>20</v>
      </c>
      <c r="E834" s="7">
        <v>20</v>
      </c>
      <c r="F834" s="8">
        <v>1</v>
      </c>
      <c r="G834" s="8">
        <v>1</v>
      </c>
      <c r="H834" s="7">
        <v>1</v>
      </c>
      <c r="I834" s="7">
        <v>1</v>
      </c>
      <c r="J834" s="9" t="s">
        <v>35</v>
      </c>
      <c r="K834" s="7">
        <v>2</v>
      </c>
      <c r="L834" s="7" t="s">
        <v>52</v>
      </c>
      <c r="M834" s="7">
        <f t="shared" ref="M834:M897" si="62">IF(L834="n",F834,0)</f>
        <v>1</v>
      </c>
      <c r="N834" s="9" t="s">
        <v>34</v>
      </c>
      <c r="O834" s="7">
        <v>0</v>
      </c>
      <c r="P834" s="9" t="s">
        <v>37</v>
      </c>
      <c r="Q834" s="7"/>
      <c r="R834" s="7" t="s">
        <v>38</v>
      </c>
      <c r="S834" s="10" t="s">
        <v>1945</v>
      </c>
      <c r="T834" s="7"/>
      <c r="U834" s="7"/>
      <c r="V834" s="7"/>
      <c r="W834" s="7"/>
      <c r="X834" s="7"/>
      <c r="Y834" s="7"/>
      <c r="Z834" s="7"/>
      <c r="AA834" s="7"/>
      <c r="AB834" s="7">
        <v>0.33333333333333298</v>
      </c>
      <c r="AC834" s="7">
        <f t="shared" ref="AC834:AC897" si="63">IF(L834="n",AB834,0)</f>
        <v>0.33333333333333298</v>
      </c>
      <c r="AD834" s="7">
        <v>1</v>
      </c>
      <c r="AE834" s="7"/>
      <c r="AF834" s="7" t="s">
        <v>40</v>
      </c>
      <c r="AG834" s="7" t="s">
        <v>247</v>
      </c>
      <c r="AH834" s="7"/>
      <c r="AI834" s="7"/>
      <c r="AJ834" s="7"/>
      <c r="AK834" s="7"/>
      <c r="AL834" s="9"/>
      <c r="AM834" s="7" t="s">
        <v>71</v>
      </c>
      <c r="AN834" s="7" t="s">
        <v>71</v>
      </c>
      <c r="AO834" s="12"/>
    </row>
    <row r="835" spans="1:41" s="11" customFormat="1" x14ac:dyDescent="0.25">
      <c r="A835" s="2">
        <v>834</v>
      </c>
      <c r="B835" s="7" t="s">
        <v>693</v>
      </c>
      <c r="C835" s="7" t="s">
        <v>119</v>
      </c>
      <c r="D835" s="7">
        <v>18</v>
      </c>
      <c r="E835" s="7">
        <v>18</v>
      </c>
      <c r="F835" s="8">
        <v>1</v>
      </c>
      <c r="G835" s="8">
        <v>1</v>
      </c>
      <c r="H835" s="7">
        <v>1</v>
      </c>
      <c r="I835" s="7">
        <v>1</v>
      </c>
      <c r="J835" s="9" t="s">
        <v>77</v>
      </c>
      <c r="K835" s="7">
        <v>1</v>
      </c>
      <c r="L835" s="7" t="s">
        <v>38</v>
      </c>
      <c r="M835" s="7">
        <f t="shared" si="62"/>
        <v>0</v>
      </c>
      <c r="N835" s="9" t="s">
        <v>82</v>
      </c>
      <c r="O835" s="7">
        <v>0</v>
      </c>
      <c r="P835" s="9" t="s">
        <v>717</v>
      </c>
      <c r="Q835" s="7" t="s">
        <v>52</v>
      </c>
      <c r="R835" s="7" t="s">
        <v>38</v>
      </c>
      <c r="S835" s="10" t="s">
        <v>1946</v>
      </c>
      <c r="T835" s="7"/>
      <c r="U835" s="7"/>
      <c r="V835" s="7"/>
      <c r="W835" s="7"/>
      <c r="X835" s="7"/>
      <c r="Y835" s="7"/>
      <c r="Z835" s="7"/>
      <c r="AA835" s="7"/>
      <c r="AB835" s="7">
        <v>0.33333333333333298</v>
      </c>
      <c r="AC835" s="7">
        <f t="shared" si="63"/>
        <v>0</v>
      </c>
      <c r="AD835" s="7">
        <v>1</v>
      </c>
      <c r="AE835" s="7"/>
      <c r="AF835" s="7" t="s">
        <v>40</v>
      </c>
      <c r="AG835" s="7" t="s">
        <v>162</v>
      </c>
      <c r="AH835" s="7"/>
      <c r="AI835" s="7"/>
      <c r="AJ835" s="7"/>
      <c r="AK835" s="7"/>
      <c r="AL835" s="9"/>
      <c r="AM835" s="7" t="s">
        <v>71</v>
      </c>
      <c r="AN835" s="7" t="s">
        <v>71</v>
      </c>
      <c r="AO835" s="15" t="s">
        <v>2581</v>
      </c>
    </row>
    <row r="836" spans="1:41" s="11" customFormat="1" ht="24" x14ac:dyDescent="0.25">
      <c r="A836" s="2">
        <v>835</v>
      </c>
      <c r="B836" s="7" t="s">
        <v>693</v>
      </c>
      <c r="C836" s="7" t="s">
        <v>89</v>
      </c>
      <c r="D836" s="7" t="s">
        <v>718</v>
      </c>
      <c r="E836" s="7">
        <f>31+27+13</f>
        <v>71</v>
      </c>
      <c r="F836" s="8">
        <v>1</v>
      </c>
      <c r="G836" s="9" t="s">
        <v>293</v>
      </c>
      <c r="H836" s="7">
        <v>3</v>
      </c>
      <c r="I836" s="7">
        <v>3</v>
      </c>
      <c r="J836" s="9" t="s">
        <v>219</v>
      </c>
      <c r="K836" s="7">
        <v>1</v>
      </c>
      <c r="L836" s="7" t="s">
        <v>52</v>
      </c>
      <c r="M836" s="7">
        <f t="shared" si="62"/>
        <v>1</v>
      </c>
      <c r="N836" s="9" t="s">
        <v>34</v>
      </c>
      <c r="O836" s="7">
        <v>0</v>
      </c>
      <c r="P836" s="9" t="s">
        <v>33</v>
      </c>
      <c r="Q836" s="7" t="s">
        <v>38</v>
      </c>
      <c r="R836" s="7" t="s">
        <v>38</v>
      </c>
      <c r="S836" s="10" t="s">
        <v>1947</v>
      </c>
      <c r="T836" s="7"/>
      <c r="U836" s="7"/>
      <c r="V836" s="7"/>
      <c r="W836" s="7"/>
      <c r="X836" s="7">
        <v>3</v>
      </c>
      <c r="Y836" s="7"/>
      <c r="Z836" s="7"/>
      <c r="AA836" s="7"/>
      <c r="AB836" s="7">
        <f>(U836+X836+Z836)/3</f>
        <v>1</v>
      </c>
      <c r="AC836" s="7">
        <f t="shared" si="63"/>
        <v>1</v>
      </c>
      <c r="AD836" s="7"/>
      <c r="AE836" s="7"/>
      <c r="AF836" s="7"/>
      <c r="AG836" s="7"/>
      <c r="AH836" s="7"/>
      <c r="AI836" s="7"/>
      <c r="AJ836" s="10" t="s">
        <v>2361</v>
      </c>
      <c r="AK836" s="7"/>
      <c r="AL836" s="9"/>
      <c r="AM836" s="7" t="s">
        <v>71</v>
      </c>
      <c r="AN836" s="7" t="s">
        <v>71</v>
      </c>
      <c r="AO836" s="12"/>
    </row>
    <row r="837" spans="1:41" s="11" customFormat="1" x14ac:dyDescent="0.25">
      <c r="A837" s="2">
        <v>836</v>
      </c>
      <c r="B837" s="7" t="s">
        <v>693</v>
      </c>
      <c r="C837" s="7" t="s">
        <v>100</v>
      </c>
      <c r="D837" s="7">
        <v>4</v>
      </c>
      <c r="E837" s="7">
        <v>4</v>
      </c>
      <c r="F837" s="8">
        <v>1</v>
      </c>
      <c r="G837" s="8">
        <v>1</v>
      </c>
      <c r="H837" s="7">
        <v>1</v>
      </c>
      <c r="I837" s="7">
        <v>1</v>
      </c>
      <c r="J837" s="9" t="s">
        <v>219</v>
      </c>
      <c r="K837" s="7">
        <v>1</v>
      </c>
      <c r="L837" s="7" t="s">
        <v>52</v>
      </c>
      <c r="M837" s="7">
        <f t="shared" si="62"/>
        <v>1</v>
      </c>
      <c r="N837" s="9"/>
      <c r="O837" s="7"/>
      <c r="P837" s="9"/>
      <c r="Q837" s="7"/>
      <c r="R837" s="7"/>
      <c r="S837" s="7"/>
      <c r="T837" s="7"/>
      <c r="U837" s="7"/>
      <c r="V837" s="7"/>
      <c r="W837" s="7"/>
      <c r="X837" s="7">
        <v>3</v>
      </c>
      <c r="Y837" s="7"/>
      <c r="Z837" s="7"/>
      <c r="AA837" s="7"/>
      <c r="AB837" s="7">
        <f>(U837+X837+Z837)/3</f>
        <v>1</v>
      </c>
      <c r="AC837" s="7">
        <f t="shared" si="63"/>
        <v>1</v>
      </c>
      <c r="AD837" s="7"/>
      <c r="AE837" s="7"/>
      <c r="AF837" s="7"/>
      <c r="AG837" s="7"/>
      <c r="AH837" s="7"/>
      <c r="AI837" s="7"/>
      <c r="AJ837" s="7"/>
      <c r="AK837" s="7"/>
      <c r="AL837" s="9"/>
      <c r="AM837" s="7" t="s">
        <v>71</v>
      </c>
      <c r="AN837" s="7" t="s">
        <v>71</v>
      </c>
      <c r="AO837" s="12"/>
    </row>
    <row r="838" spans="1:41" s="11" customFormat="1" x14ac:dyDescent="0.25">
      <c r="A838" s="2">
        <v>837</v>
      </c>
      <c r="B838" s="7" t="s">
        <v>693</v>
      </c>
      <c r="C838" s="7" t="s">
        <v>100</v>
      </c>
      <c r="D838" s="7">
        <v>3</v>
      </c>
      <c r="E838" s="7">
        <v>3</v>
      </c>
      <c r="F838" s="8">
        <v>1</v>
      </c>
      <c r="G838" s="8">
        <v>1</v>
      </c>
      <c r="H838" s="7">
        <v>1</v>
      </c>
      <c r="I838" s="7">
        <v>1</v>
      </c>
      <c r="J838" s="9" t="s">
        <v>219</v>
      </c>
      <c r="K838" s="7">
        <v>1</v>
      </c>
      <c r="L838" s="7" t="s">
        <v>52</v>
      </c>
      <c r="M838" s="7">
        <f t="shared" si="62"/>
        <v>1</v>
      </c>
      <c r="N838" s="9"/>
      <c r="O838" s="7"/>
      <c r="P838" s="9"/>
      <c r="Q838" s="7"/>
      <c r="R838" s="7"/>
      <c r="S838" s="7"/>
      <c r="T838" s="7"/>
      <c r="U838" s="7"/>
      <c r="V838" s="7"/>
      <c r="W838" s="7"/>
      <c r="X838" s="7"/>
      <c r="Y838" s="7"/>
      <c r="Z838" s="7"/>
      <c r="AA838" s="7"/>
      <c r="AB838" s="7">
        <v>0.33333333333333298</v>
      </c>
      <c r="AC838" s="7">
        <f t="shared" si="63"/>
        <v>0.33333333333333298</v>
      </c>
      <c r="AD838" s="7"/>
      <c r="AE838" s="7"/>
      <c r="AF838" s="7"/>
      <c r="AG838" s="7"/>
      <c r="AH838" s="7"/>
      <c r="AI838" s="7"/>
      <c r="AJ838" s="7"/>
      <c r="AK838" s="7"/>
      <c r="AL838" s="9"/>
      <c r="AM838" s="7" t="s">
        <v>71</v>
      </c>
      <c r="AN838" s="7" t="s">
        <v>71</v>
      </c>
      <c r="AO838" s="12"/>
    </row>
    <row r="839" spans="1:41" s="11" customFormat="1" x14ac:dyDescent="0.25">
      <c r="A839" s="2">
        <v>838</v>
      </c>
      <c r="B839" s="7" t="s">
        <v>696</v>
      </c>
      <c r="C839" s="7" t="s">
        <v>32</v>
      </c>
      <c r="D839" s="7" t="s">
        <v>719</v>
      </c>
      <c r="E839" s="7">
        <f>475+393+348+264+250+99+83+78+24+22+9</f>
        <v>2045</v>
      </c>
      <c r="F839" s="8">
        <v>1</v>
      </c>
      <c r="G839" s="9" t="s">
        <v>720</v>
      </c>
      <c r="H839" s="7">
        <v>37</v>
      </c>
      <c r="I839" s="7">
        <v>37</v>
      </c>
      <c r="J839" s="9" t="s">
        <v>219</v>
      </c>
      <c r="K839" s="9" t="s">
        <v>33</v>
      </c>
      <c r="L839" s="7" t="s">
        <v>52</v>
      </c>
      <c r="M839" s="7">
        <f t="shared" si="62"/>
        <v>1</v>
      </c>
      <c r="N839" s="9" t="s">
        <v>82</v>
      </c>
      <c r="O839" s="7">
        <v>0</v>
      </c>
      <c r="P839" s="9" t="s">
        <v>34</v>
      </c>
      <c r="Q839" s="7" t="s">
        <v>38</v>
      </c>
      <c r="R839" s="7" t="s">
        <v>38</v>
      </c>
      <c r="S839" s="10" t="s">
        <v>1948</v>
      </c>
      <c r="T839" s="7"/>
      <c r="U839" s="7"/>
      <c r="V839" s="7"/>
      <c r="W839" s="7"/>
      <c r="X839" s="7">
        <v>45</v>
      </c>
      <c r="Y839" s="7">
        <v>50</v>
      </c>
      <c r="Z839" s="7">
        <v>50</v>
      </c>
      <c r="AA839" s="7">
        <v>190</v>
      </c>
      <c r="AB839" s="7">
        <f t="shared" ref="AB839:AB851" si="64">(U839+X839+Z839)/3</f>
        <v>31.666666666666668</v>
      </c>
      <c r="AC839" s="7">
        <f t="shared" si="63"/>
        <v>31.666666666666668</v>
      </c>
      <c r="AD839" s="7"/>
      <c r="AE839" s="7">
        <v>3</v>
      </c>
      <c r="AF839" s="7" t="s">
        <v>155</v>
      </c>
      <c r="AG839" s="7" t="s">
        <v>721</v>
      </c>
      <c r="AH839" s="7"/>
      <c r="AI839" s="7"/>
      <c r="AJ839" s="7"/>
      <c r="AK839" s="7"/>
      <c r="AL839" s="9"/>
      <c r="AM839" s="7" t="s">
        <v>662</v>
      </c>
      <c r="AN839" s="7" t="s">
        <v>662</v>
      </c>
      <c r="AO839" s="12"/>
    </row>
    <row r="840" spans="1:41" s="11" customFormat="1" ht="24" x14ac:dyDescent="0.25">
      <c r="A840" s="2">
        <v>839</v>
      </c>
      <c r="B840" s="10" t="s">
        <v>722</v>
      </c>
      <c r="C840" s="7" t="s">
        <v>174</v>
      </c>
      <c r="D840" s="7" t="s">
        <v>723</v>
      </c>
      <c r="E840" s="7">
        <v>31</v>
      </c>
      <c r="F840" s="8">
        <v>1</v>
      </c>
      <c r="G840" s="9" t="s">
        <v>95</v>
      </c>
      <c r="H840" s="7">
        <v>3</v>
      </c>
      <c r="I840" s="7">
        <v>3</v>
      </c>
      <c r="J840" s="9" t="s">
        <v>176</v>
      </c>
      <c r="K840" s="7">
        <v>3</v>
      </c>
      <c r="L840" s="7" t="s">
        <v>52</v>
      </c>
      <c r="M840" s="7">
        <f t="shared" si="62"/>
        <v>1</v>
      </c>
      <c r="N840" s="9" t="s">
        <v>177</v>
      </c>
      <c r="O840" s="7">
        <v>0</v>
      </c>
      <c r="P840" s="9" t="s">
        <v>63</v>
      </c>
      <c r="Q840" s="7" t="s">
        <v>38</v>
      </c>
      <c r="R840" s="7" t="s">
        <v>38</v>
      </c>
      <c r="S840" s="10" t="s">
        <v>1949</v>
      </c>
      <c r="T840" s="7">
        <v>27</v>
      </c>
      <c r="U840" s="7">
        <v>27</v>
      </c>
      <c r="V840" s="7">
        <v>90</v>
      </c>
      <c r="W840" s="7" t="s">
        <v>83</v>
      </c>
      <c r="X840" s="7"/>
      <c r="Y840" s="7"/>
      <c r="Z840" s="7"/>
      <c r="AA840" s="7"/>
      <c r="AB840" s="7">
        <f t="shared" si="64"/>
        <v>9</v>
      </c>
      <c r="AC840" s="7">
        <f t="shared" si="63"/>
        <v>9</v>
      </c>
      <c r="AD840" s="7"/>
      <c r="AE840" s="7"/>
      <c r="AF840" s="7"/>
      <c r="AG840" s="7"/>
      <c r="AH840" s="7"/>
      <c r="AI840" s="7"/>
      <c r="AJ840" s="7"/>
      <c r="AK840" s="7" t="s">
        <v>252</v>
      </c>
      <c r="AL840" s="9"/>
      <c r="AM840" s="7" t="s">
        <v>724</v>
      </c>
      <c r="AN840" s="7" t="s">
        <v>2851</v>
      </c>
      <c r="AO840" s="15" t="s">
        <v>2582</v>
      </c>
    </row>
    <row r="841" spans="1:41" s="11" customFormat="1" ht="24" x14ac:dyDescent="0.25">
      <c r="A841" s="2">
        <v>840</v>
      </c>
      <c r="B841" s="7" t="s">
        <v>693</v>
      </c>
      <c r="C841" s="7" t="s">
        <v>725</v>
      </c>
      <c r="D841" s="7" t="s">
        <v>726</v>
      </c>
      <c r="E841" s="7">
        <v>138</v>
      </c>
      <c r="F841" s="8">
        <v>1</v>
      </c>
      <c r="G841" s="9" t="s">
        <v>727</v>
      </c>
      <c r="H841" s="7" t="s">
        <v>360</v>
      </c>
      <c r="I841" s="7">
        <v>9</v>
      </c>
      <c r="J841" s="9" t="s">
        <v>176</v>
      </c>
      <c r="K841" s="7">
        <v>3</v>
      </c>
      <c r="L841" s="7" t="s">
        <v>52</v>
      </c>
      <c r="M841" s="7">
        <f t="shared" si="62"/>
        <v>1</v>
      </c>
      <c r="N841" s="9" t="s">
        <v>177</v>
      </c>
      <c r="O841" s="7">
        <v>0</v>
      </c>
      <c r="P841" s="9" t="s">
        <v>63</v>
      </c>
      <c r="Q841" s="7" t="s">
        <v>38</v>
      </c>
      <c r="R841" s="7" t="s">
        <v>38</v>
      </c>
      <c r="S841" s="10" t="s">
        <v>1950</v>
      </c>
      <c r="T841" s="7">
        <v>10</v>
      </c>
      <c r="U841" s="7">
        <v>10</v>
      </c>
      <c r="V841" s="7">
        <v>95</v>
      </c>
      <c r="W841" s="7" t="s">
        <v>83</v>
      </c>
      <c r="X841" s="7">
        <v>50</v>
      </c>
      <c r="Y841" s="7">
        <v>100</v>
      </c>
      <c r="Z841" s="7">
        <v>100</v>
      </c>
      <c r="AA841" s="7">
        <v>61</v>
      </c>
      <c r="AB841" s="7">
        <f t="shared" si="64"/>
        <v>53.333333333333336</v>
      </c>
      <c r="AC841" s="7">
        <f t="shared" si="63"/>
        <v>53.333333333333336</v>
      </c>
      <c r="AD841" s="7"/>
      <c r="AE841" s="7"/>
      <c r="AF841" s="7"/>
      <c r="AG841" s="7"/>
      <c r="AH841" s="7"/>
      <c r="AI841" s="7"/>
      <c r="AJ841" s="7"/>
      <c r="AK841" s="7" t="s">
        <v>252</v>
      </c>
      <c r="AL841" s="9"/>
      <c r="AM841" s="7" t="s">
        <v>724</v>
      </c>
      <c r="AN841" s="7" t="s">
        <v>2851</v>
      </c>
      <c r="AO841" s="15" t="s">
        <v>2583</v>
      </c>
    </row>
    <row r="842" spans="1:41" s="11" customFormat="1" x14ac:dyDescent="0.25">
      <c r="A842" s="2">
        <v>841</v>
      </c>
      <c r="B842" s="7" t="s">
        <v>693</v>
      </c>
      <c r="C842" s="7" t="s">
        <v>89</v>
      </c>
      <c r="D842" s="7" t="s">
        <v>728</v>
      </c>
      <c r="E842" s="7">
        <f>19+9</f>
        <v>28</v>
      </c>
      <c r="F842" s="8">
        <v>2</v>
      </c>
      <c r="G842" s="8">
        <v>2</v>
      </c>
      <c r="H842" s="7" t="s">
        <v>87</v>
      </c>
      <c r="I842" s="7">
        <v>2</v>
      </c>
      <c r="J842" s="9" t="s">
        <v>176</v>
      </c>
      <c r="K842" s="7">
        <v>3</v>
      </c>
      <c r="L842" s="7" t="s">
        <v>52</v>
      </c>
      <c r="M842" s="7">
        <f t="shared" si="62"/>
        <v>2</v>
      </c>
      <c r="N842" s="9"/>
      <c r="O842" s="7"/>
      <c r="P842" s="9"/>
      <c r="Q842" s="7"/>
      <c r="R842" s="7"/>
      <c r="S842" s="7"/>
      <c r="T842" s="7"/>
      <c r="U842" s="7"/>
      <c r="V842" s="7"/>
      <c r="W842" s="7"/>
      <c r="X842" s="7">
        <v>3</v>
      </c>
      <c r="Y842" s="7"/>
      <c r="Z842" s="7"/>
      <c r="AA842" s="7"/>
      <c r="AB842" s="7">
        <f t="shared" si="64"/>
        <v>1</v>
      </c>
      <c r="AC842" s="7">
        <f t="shared" si="63"/>
        <v>1</v>
      </c>
      <c r="AD842" s="7"/>
      <c r="AE842" s="7"/>
      <c r="AF842" s="7"/>
      <c r="AG842" s="7"/>
      <c r="AH842" s="7"/>
      <c r="AI842" s="7"/>
      <c r="AJ842" s="7"/>
      <c r="AK842" s="7"/>
      <c r="AL842" s="9"/>
      <c r="AM842" s="7" t="s">
        <v>71</v>
      </c>
      <c r="AN842" s="7" t="s">
        <v>71</v>
      </c>
      <c r="AO842" s="12"/>
    </row>
    <row r="843" spans="1:41" s="11" customFormat="1" x14ac:dyDescent="0.25">
      <c r="A843" s="2">
        <v>842</v>
      </c>
      <c r="B843" s="7" t="s">
        <v>693</v>
      </c>
      <c r="C843" s="7" t="s">
        <v>100</v>
      </c>
      <c r="D843" s="7">
        <v>2</v>
      </c>
      <c r="E843" s="7">
        <v>2</v>
      </c>
      <c r="F843" s="8">
        <v>1</v>
      </c>
      <c r="G843" s="8">
        <v>1</v>
      </c>
      <c r="H843" s="7">
        <v>1</v>
      </c>
      <c r="I843" s="7">
        <v>1</v>
      </c>
      <c r="J843" s="9" t="s">
        <v>176</v>
      </c>
      <c r="K843" s="7">
        <v>3</v>
      </c>
      <c r="L843" s="7" t="s">
        <v>52</v>
      </c>
      <c r="M843" s="7">
        <f t="shared" si="62"/>
        <v>1</v>
      </c>
      <c r="N843" s="9"/>
      <c r="O843" s="7"/>
      <c r="P843" s="9"/>
      <c r="Q843" s="7"/>
      <c r="R843" s="7"/>
      <c r="S843" s="7"/>
      <c r="T843" s="7"/>
      <c r="U843" s="7"/>
      <c r="V843" s="7"/>
      <c r="W843" s="7"/>
      <c r="X843" s="7">
        <v>3</v>
      </c>
      <c r="Y843" s="7"/>
      <c r="Z843" s="7"/>
      <c r="AA843" s="7"/>
      <c r="AB843" s="7">
        <f t="shared" si="64"/>
        <v>1</v>
      </c>
      <c r="AC843" s="7">
        <f t="shared" si="63"/>
        <v>1</v>
      </c>
      <c r="AD843" s="7"/>
      <c r="AE843" s="7"/>
      <c r="AF843" s="7"/>
      <c r="AG843" s="7"/>
      <c r="AH843" s="7"/>
      <c r="AI843" s="7"/>
      <c r="AJ843" s="7"/>
      <c r="AK843" s="7"/>
      <c r="AL843" s="9"/>
      <c r="AM843" s="7" t="s">
        <v>71</v>
      </c>
      <c r="AN843" s="7" t="s">
        <v>71</v>
      </c>
      <c r="AO843" s="12"/>
    </row>
    <row r="844" spans="1:41" s="11" customFormat="1" ht="36" x14ac:dyDescent="0.25">
      <c r="A844" s="2">
        <v>843</v>
      </c>
      <c r="B844" s="7" t="s">
        <v>693</v>
      </c>
      <c r="C844" s="7" t="s">
        <v>78</v>
      </c>
      <c r="D844" s="7">
        <v>15</v>
      </c>
      <c r="E844" s="7">
        <v>15</v>
      </c>
      <c r="F844" s="8">
        <v>1</v>
      </c>
      <c r="G844" s="8">
        <v>1</v>
      </c>
      <c r="H844" s="7">
        <v>1</v>
      </c>
      <c r="I844" s="7">
        <v>1</v>
      </c>
      <c r="J844" s="9" t="s">
        <v>176</v>
      </c>
      <c r="K844" s="7">
        <v>10</v>
      </c>
      <c r="L844" s="7" t="s">
        <v>52</v>
      </c>
      <c r="M844" s="7">
        <f t="shared" si="62"/>
        <v>1</v>
      </c>
      <c r="N844" s="9" t="s">
        <v>177</v>
      </c>
      <c r="O844" s="7">
        <v>0</v>
      </c>
      <c r="P844" s="9" t="s">
        <v>63</v>
      </c>
      <c r="Q844" s="7" t="s">
        <v>38</v>
      </c>
      <c r="R844" s="7" t="s">
        <v>52</v>
      </c>
      <c r="S844" s="10" t="s">
        <v>1614</v>
      </c>
      <c r="T844" s="7">
        <v>12</v>
      </c>
      <c r="U844" s="7">
        <v>12</v>
      </c>
      <c r="V844" s="7">
        <v>160</v>
      </c>
      <c r="W844" s="7" t="s">
        <v>729</v>
      </c>
      <c r="X844" s="7"/>
      <c r="Y844" s="7"/>
      <c r="Z844" s="7"/>
      <c r="AA844" s="7"/>
      <c r="AB844" s="7">
        <f t="shared" si="64"/>
        <v>4</v>
      </c>
      <c r="AC844" s="7">
        <f t="shared" si="63"/>
        <v>4</v>
      </c>
      <c r="AD844" s="7"/>
      <c r="AE844" s="7"/>
      <c r="AF844" s="7"/>
      <c r="AG844" s="7"/>
      <c r="AH844" s="7"/>
      <c r="AI844" s="7"/>
      <c r="AJ844" s="7"/>
      <c r="AK844" s="7"/>
      <c r="AL844" s="9"/>
      <c r="AM844" s="7" t="s">
        <v>215</v>
      </c>
      <c r="AN844" s="7" t="s">
        <v>2850</v>
      </c>
      <c r="AO844" s="12"/>
    </row>
    <row r="845" spans="1:41" s="11" customFormat="1" ht="24" x14ac:dyDescent="0.25">
      <c r="A845" s="2">
        <v>844</v>
      </c>
      <c r="B845" s="7" t="s">
        <v>730</v>
      </c>
      <c r="C845" s="7" t="s">
        <v>32</v>
      </c>
      <c r="D845" s="7" t="s">
        <v>731</v>
      </c>
      <c r="E845" s="7">
        <f>137+27+5</f>
        <v>169</v>
      </c>
      <c r="F845" s="8">
        <v>1</v>
      </c>
      <c r="G845" s="9" t="s">
        <v>159</v>
      </c>
      <c r="H845" s="7">
        <v>6</v>
      </c>
      <c r="I845" s="7">
        <v>6</v>
      </c>
      <c r="J845" s="9" t="s">
        <v>35</v>
      </c>
      <c r="K845" s="7">
        <v>1</v>
      </c>
      <c r="L845" s="7" t="s">
        <v>52</v>
      </c>
      <c r="M845" s="7">
        <f t="shared" si="62"/>
        <v>1</v>
      </c>
      <c r="N845" s="9" t="s">
        <v>36</v>
      </c>
      <c r="O845" s="7">
        <v>0</v>
      </c>
      <c r="P845" s="9" t="s">
        <v>33</v>
      </c>
      <c r="Q845" s="7" t="s">
        <v>38</v>
      </c>
      <c r="R845" s="7" t="s">
        <v>38</v>
      </c>
      <c r="S845" s="10" t="s">
        <v>1951</v>
      </c>
      <c r="T845" s="7"/>
      <c r="U845" s="7"/>
      <c r="V845" s="7"/>
      <c r="W845" s="7"/>
      <c r="X845" s="7">
        <v>15</v>
      </c>
      <c r="Y845" s="7">
        <v>100</v>
      </c>
      <c r="Z845" s="7">
        <v>100</v>
      </c>
      <c r="AA845" s="7">
        <v>64</v>
      </c>
      <c r="AB845" s="7">
        <f t="shared" si="64"/>
        <v>38.333333333333336</v>
      </c>
      <c r="AC845" s="7">
        <f t="shared" si="63"/>
        <v>38.333333333333336</v>
      </c>
      <c r="AD845" s="7"/>
      <c r="AE845" s="7">
        <v>2</v>
      </c>
      <c r="AF845" s="7"/>
      <c r="AG845" s="7" t="s">
        <v>732</v>
      </c>
      <c r="AH845" s="7" t="s">
        <v>38</v>
      </c>
      <c r="AI845" s="7"/>
      <c r="AJ845" s="10" t="s">
        <v>2368</v>
      </c>
      <c r="AK845" s="7"/>
      <c r="AL845" s="9" t="s">
        <v>38</v>
      </c>
      <c r="AM845" s="7" t="s">
        <v>42</v>
      </c>
      <c r="AN845" s="7" t="s">
        <v>42</v>
      </c>
      <c r="AO845" s="12"/>
    </row>
    <row r="846" spans="1:41" s="11" customFormat="1" ht="24" x14ac:dyDescent="0.25">
      <c r="A846" s="2">
        <v>845</v>
      </c>
      <c r="B846" s="7" t="s">
        <v>730</v>
      </c>
      <c r="C846" s="7" t="s">
        <v>174</v>
      </c>
      <c r="D846" s="7" t="s">
        <v>733</v>
      </c>
      <c r="E846" s="7">
        <f>16+18+5</f>
        <v>39</v>
      </c>
      <c r="F846" s="8">
        <v>1</v>
      </c>
      <c r="G846" s="8">
        <v>7</v>
      </c>
      <c r="H846" s="7" t="s">
        <v>200</v>
      </c>
      <c r="I846" s="7">
        <v>7</v>
      </c>
      <c r="J846" s="9" t="s">
        <v>35</v>
      </c>
      <c r="K846" s="7">
        <v>1</v>
      </c>
      <c r="L846" s="7" t="s">
        <v>52</v>
      </c>
      <c r="M846" s="7">
        <f t="shared" si="62"/>
        <v>1</v>
      </c>
      <c r="N846" s="9" t="s">
        <v>36</v>
      </c>
      <c r="O846" s="7">
        <v>0</v>
      </c>
      <c r="P846" s="9" t="s">
        <v>33</v>
      </c>
      <c r="Q846" s="7" t="s">
        <v>38</v>
      </c>
      <c r="R846" s="7" t="s">
        <v>38</v>
      </c>
      <c r="S846" s="10" t="s">
        <v>1952</v>
      </c>
      <c r="T846" s="7">
        <v>25</v>
      </c>
      <c r="U846" s="7">
        <v>25</v>
      </c>
      <c r="V846" s="7">
        <v>100</v>
      </c>
      <c r="W846" s="7" t="s">
        <v>83</v>
      </c>
      <c r="X846" s="7">
        <v>3</v>
      </c>
      <c r="Y846" s="7"/>
      <c r="Z846" s="7"/>
      <c r="AA846" s="7"/>
      <c r="AB846" s="7">
        <f t="shared" si="64"/>
        <v>9.3333333333333339</v>
      </c>
      <c r="AC846" s="7">
        <f t="shared" si="63"/>
        <v>9.3333333333333339</v>
      </c>
      <c r="AD846" s="7"/>
      <c r="AE846" s="7"/>
      <c r="AF846" s="7"/>
      <c r="AG846" s="7"/>
      <c r="AH846" s="7"/>
      <c r="AI846" s="7"/>
      <c r="AJ846" s="7"/>
      <c r="AK846" s="7" t="s">
        <v>252</v>
      </c>
      <c r="AL846" s="9"/>
      <c r="AM846" s="7" t="s">
        <v>42</v>
      </c>
      <c r="AN846" s="7" t="s">
        <v>42</v>
      </c>
      <c r="AO846" s="12"/>
    </row>
    <row r="847" spans="1:41" s="11" customFormat="1" ht="24" x14ac:dyDescent="0.25">
      <c r="A847" s="2">
        <v>846</v>
      </c>
      <c r="B847" s="7" t="s">
        <v>730</v>
      </c>
      <c r="C847" s="7" t="s">
        <v>309</v>
      </c>
      <c r="D847" s="7" t="s">
        <v>734</v>
      </c>
      <c r="E847" s="7">
        <f>37+21</f>
        <v>58</v>
      </c>
      <c r="F847" s="8">
        <v>1</v>
      </c>
      <c r="G847" s="9" t="s">
        <v>124</v>
      </c>
      <c r="H847" s="7">
        <v>4</v>
      </c>
      <c r="I847" s="7">
        <v>4</v>
      </c>
      <c r="J847" s="9" t="s">
        <v>35</v>
      </c>
      <c r="K847" s="7">
        <v>1</v>
      </c>
      <c r="L847" s="7" t="s">
        <v>52</v>
      </c>
      <c r="M847" s="7">
        <f t="shared" si="62"/>
        <v>1</v>
      </c>
      <c r="N847" s="9" t="s">
        <v>36</v>
      </c>
      <c r="O847" s="7">
        <v>2</v>
      </c>
      <c r="P847" s="9" t="s">
        <v>37</v>
      </c>
      <c r="Q847" s="7" t="s">
        <v>38</v>
      </c>
      <c r="R847" s="7" t="s">
        <v>38</v>
      </c>
      <c r="S847" s="10" t="s">
        <v>1953</v>
      </c>
      <c r="T847" s="7"/>
      <c r="U847" s="7"/>
      <c r="V847" s="7"/>
      <c r="W847" s="7"/>
      <c r="X847" s="7">
        <v>3</v>
      </c>
      <c r="Y847" s="7"/>
      <c r="Z847" s="7"/>
      <c r="AA847" s="7"/>
      <c r="AB847" s="7">
        <f t="shared" si="64"/>
        <v>1</v>
      </c>
      <c r="AC847" s="7">
        <f t="shared" si="63"/>
        <v>1</v>
      </c>
      <c r="AD847" s="7"/>
      <c r="AE847" s="7">
        <v>2</v>
      </c>
      <c r="AF847" s="7" t="s">
        <v>40</v>
      </c>
      <c r="AG847" s="7" t="s">
        <v>735</v>
      </c>
      <c r="AH847" s="7"/>
      <c r="AI847" s="7"/>
      <c r="AJ847" s="7"/>
      <c r="AK847" s="10" t="s">
        <v>2461</v>
      </c>
      <c r="AL847" s="9"/>
      <c r="AM847" s="7" t="s">
        <v>42</v>
      </c>
      <c r="AN847" s="7" t="s">
        <v>42</v>
      </c>
      <c r="AO847" s="12"/>
    </row>
    <row r="848" spans="1:41" s="11" customFormat="1" ht="24" x14ac:dyDescent="0.25">
      <c r="A848" s="2">
        <v>847</v>
      </c>
      <c r="B848" s="7" t="s">
        <v>730</v>
      </c>
      <c r="C848" s="7" t="s">
        <v>309</v>
      </c>
      <c r="D848" s="7" t="s">
        <v>736</v>
      </c>
      <c r="E848" s="7">
        <f>17+14+5</f>
        <v>36</v>
      </c>
      <c r="F848" s="8">
        <v>1</v>
      </c>
      <c r="G848" s="9" t="s">
        <v>293</v>
      </c>
      <c r="H848" s="7">
        <v>3</v>
      </c>
      <c r="I848" s="7">
        <v>3</v>
      </c>
      <c r="J848" s="9" t="s">
        <v>35</v>
      </c>
      <c r="K848" s="7">
        <v>1</v>
      </c>
      <c r="L848" s="7" t="s">
        <v>52</v>
      </c>
      <c r="M848" s="7">
        <f t="shared" si="62"/>
        <v>1</v>
      </c>
      <c r="N848" s="9" t="s">
        <v>36</v>
      </c>
      <c r="O848" s="7">
        <v>0</v>
      </c>
      <c r="P848" s="9" t="s">
        <v>33</v>
      </c>
      <c r="Q848" s="7" t="s">
        <v>38</v>
      </c>
      <c r="R848" s="7" t="s">
        <v>38</v>
      </c>
      <c r="S848" s="10" t="s">
        <v>1953</v>
      </c>
      <c r="T848" s="7"/>
      <c r="U848" s="7"/>
      <c r="V848" s="7"/>
      <c r="W848" s="7"/>
      <c r="X848" s="7">
        <v>3</v>
      </c>
      <c r="Y848" s="7"/>
      <c r="Z848" s="7"/>
      <c r="AA848" s="7"/>
      <c r="AB848" s="7">
        <f t="shared" si="64"/>
        <v>1</v>
      </c>
      <c r="AC848" s="7">
        <f t="shared" si="63"/>
        <v>1</v>
      </c>
      <c r="AD848" s="7"/>
      <c r="AE848" s="7">
        <v>1</v>
      </c>
      <c r="AF848" s="7" t="s">
        <v>40</v>
      </c>
      <c r="AG848" s="7" t="s">
        <v>737</v>
      </c>
      <c r="AH848" s="7"/>
      <c r="AI848" s="7"/>
      <c r="AJ848" s="7"/>
      <c r="AK848" s="7"/>
      <c r="AL848" s="9"/>
      <c r="AM848" s="7" t="s">
        <v>42</v>
      </c>
      <c r="AN848" s="7" t="s">
        <v>42</v>
      </c>
      <c r="AO848" s="12"/>
    </row>
    <row r="849" spans="1:41" s="11" customFormat="1" x14ac:dyDescent="0.25">
      <c r="A849" s="2">
        <v>848</v>
      </c>
      <c r="B849" s="7" t="s">
        <v>730</v>
      </c>
      <c r="C849" s="7" t="s">
        <v>104</v>
      </c>
      <c r="D849" s="7">
        <v>27</v>
      </c>
      <c r="E849" s="7">
        <v>27</v>
      </c>
      <c r="F849" s="8">
        <v>1</v>
      </c>
      <c r="G849" s="8">
        <v>1</v>
      </c>
      <c r="H849" s="7">
        <v>1</v>
      </c>
      <c r="I849" s="7">
        <v>1</v>
      </c>
      <c r="J849" s="9" t="s">
        <v>70</v>
      </c>
      <c r="K849" s="7">
        <v>1</v>
      </c>
      <c r="L849" s="7" t="s">
        <v>52</v>
      </c>
      <c r="M849" s="7">
        <f t="shared" si="62"/>
        <v>1</v>
      </c>
      <c r="N849" s="9" t="s">
        <v>82</v>
      </c>
      <c r="O849" s="7">
        <v>0</v>
      </c>
      <c r="P849" s="9" t="s">
        <v>36</v>
      </c>
      <c r="Q849" s="7" t="s">
        <v>38</v>
      </c>
      <c r="R849" s="7" t="s">
        <v>38</v>
      </c>
      <c r="S849" s="7"/>
      <c r="T849" s="7"/>
      <c r="U849" s="7"/>
      <c r="V849" s="7"/>
      <c r="W849" s="7"/>
      <c r="X849" s="7">
        <v>3</v>
      </c>
      <c r="Y849" s="7"/>
      <c r="Z849" s="7"/>
      <c r="AA849" s="7"/>
      <c r="AB849" s="7">
        <f t="shared" si="64"/>
        <v>1</v>
      </c>
      <c r="AC849" s="7">
        <f t="shared" si="63"/>
        <v>1</v>
      </c>
      <c r="AD849" s="7"/>
      <c r="AE849" s="7">
        <v>1</v>
      </c>
      <c r="AF849" s="7" t="s">
        <v>40</v>
      </c>
      <c r="AG849" s="7" t="s">
        <v>738</v>
      </c>
      <c r="AH849" s="7"/>
      <c r="AI849" s="7"/>
      <c r="AJ849" s="7"/>
      <c r="AK849" s="7"/>
      <c r="AL849" s="9"/>
      <c r="AM849" s="7" t="s">
        <v>71</v>
      </c>
      <c r="AN849" s="7" t="s">
        <v>71</v>
      </c>
      <c r="AO849" s="12"/>
    </row>
    <row r="850" spans="1:41" s="11" customFormat="1" ht="36" x14ac:dyDescent="0.25">
      <c r="A850" s="2">
        <v>849</v>
      </c>
      <c r="B850" s="7" t="s">
        <v>730</v>
      </c>
      <c r="C850" s="7" t="s">
        <v>739</v>
      </c>
      <c r="D850" s="7">
        <v>40</v>
      </c>
      <c r="E850" s="7">
        <v>40</v>
      </c>
      <c r="F850" s="8">
        <v>1</v>
      </c>
      <c r="G850" s="8">
        <v>1</v>
      </c>
      <c r="H850" s="7">
        <v>1</v>
      </c>
      <c r="I850" s="7">
        <v>1</v>
      </c>
      <c r="J850" s="9" t="s">
        <v>35</v>
      </c>
      <c r="K850" s="7">
        <v>1</v>
      </c>
      <c r="L850" s="7" t="s">
        <v>52</v>
      </c>
      <c r="M850" s="7">
        <f t="shared" si="62"/>
        <v>1</v>
      </c>
      <c r="N850" s="9" t="s">
        <v>36</v>
      </c>
      <c r="O850" s="7">
        <v>1</v>
      </c>
      <c r="P850" s="9" t="s">
        <v>37</v>
      </c>
      <c r="Q850" s="7" t="s">
        <v>38</v>
      </c>
      <c r="R850" s="7" t="s">
        <v>38</v>
      </c>
      <c r="S850" s="10" t="s">
        <v>1954</v>
      </c>
      <c r="T850" s="7">
        <v>10</v>
      </c>
      <c r="U850" s="7">
        <v>10</v>
      </c>
      <c r="V850" s="7" t="s">
        <v>325</v>
      </c>
      <c r="W850" s="7" t="s">
        <v>740</v>
      </c>
      <c r="X850" s="7"/>
      <c r="Y850" s="7"/>
      <c r="Z850" s="7"/>
      <c r="AA850" s="7"/>
      <c r="AB850" s="7">
        <f t="shared" si="64"/>
        <v>3.3333333333333335</v>
      </c>
      <c r="AC850" s="7">
        <f t="shared" si="63"/>
        <v>3.3333333333333335</v>
      </c>
      <c r="AD850" s="7"/>
      <c r="AE850" s="7">
        <v>1</v>
      </c>
      <c r="AF850" s="7" t="s">
        <v>40</v>
      </c>
      <c r="AG850" s="7" t="s">
        <v>741</v>
      </c>
      <c r="AH850" s="7"/>
      <c r="AI850" s="7"/>
      <c r="AJ850" s="7"/>
      <c r="AK850" s="7"/>
      <c r="AL850" s="9"/>
      <c r="AM850" s="7" t="s">
        <v>650</v>
      </c>
      <c r="AN850" s="7" t="s">
        <v>2848</v>
      </c>
      <c r="AO850" s="12"/>
    </row>
    <row r="851" spans="1:41" s="11" customFormat="1" x14ac:dyDescent="0.25">
      <c r="A851" s="2">
        <v>850</v>
      </c>
      <c r="B851" s="7" t="s">
        <v>730</v>
      </c>
      <c r="C851" s="7" t="s">
        <v>104</v>
      </c>
      <c r="D851" s="7">
        <v>14</v>
      </c>
      <c r="E851" s="7">
        <v>14</v>
      </c>
      <c r="F851" s="8">
        <v>1</v>
      </c>
      <c r="G851" s="8">
        <v>1</v>
      </c>
      <c r="H851" s="7">
        <v>1</v>
      </c>
      <c r="I851" s="7">
        <v>1</v>
      </c>
      <c r="J851" s="9" t="s">
        <v>35</v>
      </c>
      <c r="K851" s="7">
        <v>1</v>
      </c>
      <c r="L851" s="7" t="s">
        <v>52</v>
      </c>
      <c r="M851" s="7">
        <f t="shared" si="62"/>
        <v>1</v>
      </c>
      <c r="N851" s="9" t="s">
        <v>36</v>
      </c>
      <c r="O851" s="7">
        <v>1</v>
      </c>
      <c r="P851" s="9" t="s">
        <v>33</v>
      </c>
      <c r="Q851" s="7" t="s">
        <v>38</v>
      </c>
      <c r="R851" s="7" t="s">
        <v>38</v>
      </c>
      <c r="S851" s="10" t="s">
        <v>1953</v>
      </c>
      <c r="T851" s="7"/>
      <c r="U851" s="7"/>
      <c r="V851" s="7"/>
      <c r="W851" s="7"/>
      <c r="X851" s="7">
        <v>3</v>
      </c>
      <c r="Y851" s="7"/>
      <c r="Z851" s="7"/>
      <c r="AA851" s="7"/>
      <c r="AB851" s="7">
        <f t="shared" si="64"/>
        <v>1</v>
      </c>
      <c r="AC851" s="7">
        <f t="shared" si="63"/>
        <v>1</v>
      </c>
      <c r="AD851" s="7"/>
      <c r="AE851" s="7">
        <v>1</v>
      </c>
      <c r="AF851" s="7" t="s">
        <v>40</v>
      </c>
      <c r="AG851" s="7" t="s">
        <v>742</v>
      </c>
      <c r="AH851" s="7"/>
      <c r="AI851" s="7"/>
      <c r="AJ851" s="7"/>
      <c r="AK851" s="7"/>
      <c r="AL851" s="9"/>
      <c r="AM851" s="7" t="s">
        <v>71</v>
      </c>
      <c r="AN851" s="7" t="s">
        <v>71</v>
      </c>
      <c r="AO851" s="12"/>
    </row>
    <row r="852" spans="1:41" s="11" customFormat="1" x14ac:dyDescent="0.25">
      <c r="A852" s="2">
        <v>851</v>
      </c>
      <c r="B852" s="7" t="s">
        <v>730</v>
      </c>
      <c r="C852" s="7" t="s">
        <v>119</v>
      </c>
      <c r="D852" s="7">
        <v>8</v>
      </c>
      <c r="E852" s="7">
        <v>8</v>
      </c>
      <c r="F852" s="8">
        <v>1</v>
      </c>
      <c r="G852" s="8">
        <v>1</v>
      </c>
      <c r="H852" s="7">
        <v>1</v>
      </c>
      <c r="I852" s="7">
        <v>1</v>
      </c>
      <c r="J852" s="9" t="s">
        <v>35</v>
      </c>
      <c r="K852" s="7">
        <v>1</v>
      </c>
      <c r="L852" s="7" t="s">
        <v>52</v>
      </c>
      <c r="M852" s="7">
        <f t="shared" si="62"/>
        <v>1</v>
      </c>
      <c r="N852" s="9" t="s">
        <v>36</v>
      </c>
      <c r="O852" s="7">
        <v>0</v>
      </c>
      <c r="P852" s="9" t="s">
        <v>33</v>
      </c>
      <c r="Q852" s="7"/>
      <c r="R852" s="7" t="s">
        <v>38</v>
      </c>
      <c r="S852" s="10" t="s">
        <v>1647</v>
      </c>
      <c r="T852" s="7"/>
      <c r="U852" s="7"/>
      <c r="V852" s="7"/>
      <c r="W852" s="7"/>
      <c r="X852" s="7"/>
      <c r="Y852" s="7"/>
      <c r="Z852" s="7"/>
      <c r="AA852" s="7"/>
      <c r="AB852" s="7">
        <v>0.33333333333333298</v>
      </c>
      <c r="AC852" s="7">
        <f t="shared" si="63"/>
        <v>0.33333333333333298</v>
      </c>
      <c r="AD852" s="7">
        <v>1</v>
      </c>
      <c r="AE852" s="7"/>
      <c r="AF852" s="7" t="s">
        <v>40</v>
      </c>
      <c r="AG852" s="7" t="s">
        <v>742</v>
      </c>
      <c r="AH852" s="7"/>
      <c r="AI852" s="7"/>
      <c r="AJ852" s="7"/>
      <c r="AK852" s="7"/>
      <c r="AL852" s="9"/>
      <c r="AM852" s="7" t="s">
        <v>71</v>
      </c>
      <c r="AN852" s="7" t="s">
        <v>71</v>
      </c>
      <c r="AO852" s="12"/>
    </row>
    <row r="853" spans="1:41" s="11" customFormat="1" x14ac:dyDescent="0.25">
      <c r="A853" s="2">
        <v>852</v>
      </c>
      <c r="B853" s="7" t="s">
        <v>730</v>
      </c>
      <c r="C853" s="7" t="s">
        <v>100</v>
      </c>
      <c r="D853" s="7">
        <v>10</v>
      </c>
      <c r="E853" s="7">
        <v>10</v>
      </c>
      <c r="F853" s="8">
        <v>1</v>
      </c>
      <c r="G853" s="8">
        <v>1</v>
      </c>
      <c r="H853" s="7">
        <v>1</v>
      </c>
      <c r="I853" s="7">
        <v>1</v>
      </c>
      <c r="J853" s="9" t="s">
        <v>35</v>
      </c>
      <c r="K853" s="7">
        <v>1</v>
      </c>
      <c r="L853" s="7" t="s">
        <v>52</v>
      </c>
      <c r="M853" s="7">
        <f t="shared" si="62"/>
        <v>1</v>
      </c>
      <c r="N853" s="9" t="s">
        <v>34</v>
      </c>
      <c r="O853" s="7">
        <v>1</v>
      </c>
      <c r="P853" s="9" t="s">
        <v>63</v>
      </c>
      <c r="Q853" s="7" t="s">
        <v>38</v>
      </c>
      <c r="R853" s="7" t="s">
        <v>38</v>
      </c>
      <c r="S853" s="10" t="s">
        <v>1753</v>
      </c>
      <c r="T853" s="7"/>
      <c r="U853" s="7"/>
      <c r="V853" s="7"/>
      <c r="W853" s="7"/>
      <c r="X853" s="7">
        <v>3</v>
      </c>
      <c r="Y853" s="7"/>
      <c r="Z853" s="7"/>
      <c r="AA853" s="7"/>
      <c r="AB853" s="7">
        <f>(U853+X853+Z853)/3</f>
        <v>1</v>
      </c>
      <c r="AC853" s="7">
        <f t="shared" si="63"/>
        <v>1</v>
      </c>
      <c r="AD853" s="7"/>
      <c r="AE853" s="7">
        <v>1</v>
      </c>
      <c r="AF853" s="7"/>
      <c r="AG853" s="7" t="s">
        <v>743</v>
      </c>
      <c r="AH853" s="7" t="s">
        <v>38</v>
      </c>
      <c r="AI853" s="7"/>
      <c r="AJ853" s="7"/>
      <c r="AK853" s="7"/>
      <c r="AL853" s="9"/>
      <c r="AM853" s="7" t="s">
        <v>42</v>
      </c>
      <c r="AN853" s="7" t="s">
        <v>42</v>
      </c>
      <c r="AO853" s="12"/>
    </row>
    <row r="854" spans="1:41" s="11" customFormat="1" x14ac:dyDescent="0.25">
      <c r="A854" s="2">
        <v>853</v>
      </c>
      <c r="B854" s="7" t="s">
        <v>730</v>
      </c>
      <c r="C854" s="7" t="s">
        <v>104</v>
      </c>
      <c r="D854" s="7">
        <v>13</v>
      </c>
      <c r="E854" s="7">
        <v>13</v>
      </c>
      <c r="F854" s="8">
        <v>1</v>
      </c>
      <c r="G854" s="8">
        <v>1</v>
      </c>
      <c r="H854" s="7">
        <v>1</v>
      </c>
      <c r="I854" s="7">
        <v>1</v>
      </c>
      <c r="J854" s="9" t="s">
        <v>35</v>
      </c>
      <c r="K854" s="7">
        <v>1</v>
      </c>
      <c r="L854" s="7" t="s">
        <v>52</v>
      </c>
      <c r="M854" s="7">
        <f t="shared" si="62"/>
        <v>1</v>
      </c>
      <c r="N854" s="9" t="s">
        <v>34</v>
      </c>
      <c r="O854" s="7">
        <v>0</v>
      </c>
      <c r="P854" s="9" t="s">
        <v>33</v>
      </c>
      <c r="Q854" s="7" t="s">
        <v>38</v>
      </c>
      <c r="R854" s="7" t="s">
        <v>38</v>
      </c>
      <c r="S854" s="10" t="s">
        <v>1955</v>
      </c>
      <c r="T854" s="7"/>
      <c r="U854" s="7"/>
      <c r="V854" s="7"/>
      <c r="W854" s="7"/>
      <c r="X854" s="7">
        <v>3</v>
      </c>
      <c r="Y854" s="7"/>
      <c r="Z854" s="7"/>
      <c r="AA854" s="7"/>
      <c r="AB854" s="7">
        <f>(U854+X854+Z854)/3</f>
        <v>1</v>
      </c>
      <c r="AC854" s="7">
        <f t="shared" si="63"/>
        <v>1</v>
      </c>
      <c r="AD854" s="7"/>
      <c r="AE854" s="7">
        <v>1</v>
      </c>
      <c r="AF854" s="7" t="s">
        <v>40</v>
      </c>
      <c r="AG854" s="7" t="s">
        <v>742</v>
      </c>
      <c r="AH854" s="7"/>
      <c r="AI854" s="7"/>
      <c r="AJ854" s="7"/>
      <c r="AK854" s="7"/>
      <c r="AL854" s="9"/>
      <c r="AM854" s="7" t="s">
        <v>71</v>
      </c>
      <c r="AN854" s="7" t="s">
        <v>71</v>
      </c>
      <c r="AO854" s="12"/>
    </row>
    <row r="855" spans="1:41" s="11" customFormat="1" ht="24" x14ac:dyDescent="0.25">
      <c r="A855" s="2">
        <v>854</v>
      </c>
      <c r="B855" s="7" t="s">
        <v>730</v>
      </c>
      <c r="C855" s="7" t="s">
        <v>104</v>
      </c>
      <c r="D855" s="7">
        <v>7</v>
      </c>
      <c r="E855" s="7">
        <v>7</v>
      </c>
      <c r="F855" s="8">
        <v>1</v>
      </c>
      <c r="G855" s="8">
        <v>1</v>
      </c>
      <c r="H855" s="7">
        <v>1</v>
      </c>
      <c r="I855" s="7">
        <v>1</v>
      </c>
      <c r="J855" s="9" t="s">
        <v>35</v>
      </c>
      <c r="K855" s="7">
        <v>1</v>
      </c>
      <c r="L855" s="7" t="s">
        <v>52</v>
      </c>
      <c r="M855" s="7">
        <f t="shared" si="62"/>
        <v>1</v>
      </c>
      <c r="N855" s="9" t="s">
        <v>34</v>
      </c>
      <c r="O855" s="7">
        <v>0</v>
      </c>
      <c r="P855" s="9" t="s">
        <v>33</v>
      </c>
      <c r="Q855" s="7" t="s">
        <v>38</v>
      </c>
      <c r="R855" s="7" t="s">
        <v>38</v>
      </c>
      <c r="S855" s="10" t="s">
        <v>1956</v>
      </c>
      <c r="T855" s="7"/>
      <c r="U855" s="7"/>
      <c r="V855" s="7"/>
      <c r="W855" s="7"/>
      <c r="X855" s="7">
        <v>3</v>
      </c>
      <c r="Y855" s="7"/>
      <c r="Z855" s="7"/>
      <c r="AA855" s="7"/>
      <c r="AB855" s="7">
        <f>(U855+X855+Z855)/3</f>
        <v>1</v>
      </c>
      <c r="AC855" s="7">
        <f t="shared" si="63"/>
        <v>1</v>
      </c>
      <c r="AD855" s="7"/>
      <c r="AE855" s="7">
        <v>1</v>
      </c>
      <c r="AF855" s="7" t="s">
        <v>40</v>
      </c>
      <c r="AG855" s="7" t="s">
        <v>737</v>
      </c>
      <c r="AH855" s="7"/>
      <c r="AI855" s="7"/>
      <c r="AJ855" s="7"/>
      <c r="AK855" s="7"/>
      <c r="AL855" s="9"/>
      <c r="AM855" s="7" t="s">
        <v>71</v>
      </c>
      <c r="AN855" s="7" t="s">
        <v>71</v>
      </c>
      <c r="AO855" s="12"/>
    </row>
    <row r="856" spans="1:41" s="11" customFormat="1" x14ac:dyDescent="0.25">
      <c r="A856" s="2">
        <v>855</v>
      </c>
      <c r="B856" s="7" t="s">
        <v>730</v>
      </c>
      <c r="C856" s="7" t="s">
        <v>104</v>
      </c>
      <c r="D856" s="7">
        <v>12</v>
      </c>
      <c r="E856" s="7">
        <v>12</v>
      </c>
      <c r="F856" s="8">
        <v>1</v>
      </c>
      <c r="G856" s="8">
        <v>1</v>
      </c>
      <c r="H856" s="7">
        <v>1</v>
      </c>
      <c r="I856" s="7">
        <v>1</v>
      </c>
      <c r="J856" s="9" t="s">
        <v>35</v>
      </c>
      <c r="K856" s="7">
        <v>2</v>
      </c>
      <c r="L856" s="7" t="s">
        <v>52</v>
      </c>
      <c r="M856" s="7">
        <f t="shared" si="62"/>
        <v>1</v>
      </c>
      <c r="N856" s="9" t="s">
        <v>34</v>
      </c>
      <c r="O856" s="7">
        <v>0</v>
      </c>
      <c r="P856" s="9" t="s">
        <v>33</v>
      </c>
      <c r="Q856" s="7" t="s">
        <v>38</v>
      </c>
      <c r="R856" s="7" t="s">
        <v>52</v>
      </c>
      <c r="S856" s="10" t="s">
        <v>1957</v>
      </c>
      <c r="T856" s="7"/>
      <c r="U856" s="7"/>
      <c r="V856" s="7"/>
      <c r="W856" s="7"/>
      <c r="X856" s="7">
        <v>3</v>
      </c>
      <c r="Y856" s="7"/>
      <c r="Z856" s="7"/>
      <c r="AA856" s="7"/>
      <c r="AB856" s="7">
        <f>(U856+X856+Z856)/3</f>
        <v>1</v>
      </c>
      <c r="AC856" s="7">
        <f t="shared" si="63"/>
        <v>1</v>
      </c>
      <c r="AD856" s="7"/>
      <c r="AE856" s="7">
        <v>1</v>
      </c>
      <c r="AF856" s="7"/>
      <c r="AG856" s="7" t="s">
        <v>744</v>
      </c>
      <c r="AH856" s="7"/>
      <c r="AI856" s="7"/>
      <c r="AJ856" s="7"/>
      <c r="AK856" s="7"/>
      <c r="AL856" s="9"/>
      <c r="AM856" s="7" t="s">
        <v>71</v>
      </c>
      <c r="AN856" s="7" t="s">
        <v>71</v>
      </c>
      <c r="AO856" s="12"/>
    </row>
    <row r="857" spans="1:41" s="11" customFormat="1" x14ac:dyDescent="0.25">
      <c r="A857" s="2">
        <v>856</v>
      </c>
      <c r="B857" s="7" t="s">
        <v>730</v>
      </c>
      <c r="C857" s="7" t="s">
        <v>104</v>
      </c>
      <c r="D857" s="7">
        <v>9</v>
      </c>
      <c r="E857" s="7">
        <v>9</v>
      </c>
      <c r="F857" s="8">
        <v>1</v>
      </c>
      <c r="G857" s="8">
        <v>1</v>
      </c>
      <c r="H857" s="7">
        <v>1</v>
      </c>
      <c r="I857" s="7">
        <v>1</v>
      </c>
      <c r="J857" s="9" t="s">
        <v>35</v>
      </c>
      <c r="K857" s="7">
        <v>1</v>
      </c>
      <c r="L857" s="7" t="s">
        <v>52</v>
      </c>
      <c r="M857" s="7">
        <f t="shared" si="62"/>
        <v>1</v>
      </c>
      <c r="N857" s="9" t="s">
        <v>34</v>
      </c>
      <c r="O857" s="7">
        <v>0</v>
      </c>
      <c r="P857" s="9" t="s">
        <v>33</v>
      </c>
      <c r="Q857" s="7" t="s">
        <v>38</v>
      </c>
      <c r="R857" s="7" t="s">
        <v>38</v>
      </c>
      <c r="S857" s="7" t="s">
        <v>307</v>
      </c>
      <c r="T857" s="7"/>
      <c r="U857" s="7"/>
      <c r="V857" s="7"/>
      <c r="W857" s="7"/>
      <c r="X857" s="7">
        <v>3</v>
      </c>
      <c r="Y857" s="7"/>
      <c r="Z857" s="7"/>
      <c r="AA857" s="7"/>
      <c r="AB857" s="7">
        <f>(U857+X857+Z857)/3</f>
        <v>1</v>
      </c>
      <c r="AC857" s="7">
        <f t="shared" si="63"/>
        <v>1</v>
      </c>
      <c r="AD857" s="7"/>
      <c r="AE857" s="7">
        <v>1</v>
      </c>
      <c r="AF857" s="7" t="s">
        <v>40</v>
      </c>
      <c r="AG857" s="7" t="s">
        <v>745</v>
      </c>
      <c r="AH857" s="7"/>
      <c r="AI857" s="7"/>
      <c r="AJ857" s="7"/>
      <c r="AK857" s="7"/>
      <c r="AL857" s="9"/>
      <c r="AM857" s="7" t="s">
        <v>71</v>
      </c>
      <c r="AN857" s="7" t="s">
        <v>71</v>
      </c>
      <c r="AO857" s="12"/>
    </row>
    <row r="858" spans="1:41" s="11" customFormat="1" x14ac:dyDescent="0.25">
      <c r="A858" s="2">
        <v>857</v>
      </c>
      <c r="B858" s="7" t="s">
        <v>730</v>
      </c>
      <c r="C858" s="7" t="s">
        <v>119</v>
      </c>
      <c r="D858" s="7" t="s">
        <v>746</v>
      </c>
      <c r="E858" s="7">
        <v>7</v>
      </c>
      <c r="F858" s="8">
        <v>1</v>
      </c>
      <c r="G858" s="9" t="s">
        <v>196</v>
      </c>
      <c r="H858" s="7">
        <v>2</v>
      </c>
      <c r="I858" s="7">
        <v>2</v>
      </c>
      <c r="J858" s="9" t="s">
        <v>35</v>
      </c>
      <c r="K858" s="7">
        <v>1</v>
      </c>
      <c r="L858" s="7" t="s">
        <v>52</v>
      </c>
      <c r="M858" s="7">
        <f t="shared" si="62"/>
        <v>1</v>
      </c>
      <c r="N858" s="9" t="s">
        <v>36</v>
      </c>
      <c r="O858" s="7">
        <v>0</v>
      </c>
      <c r="P858" s="9" t="s">
        <v>63</v>
      </c>
      <c r="Q858" s="7"/>
      <c r="R858" s="7" t="s">
        <v>38</v>
      </c>
      <c r="S858" s="10" t="s">
        <v>1958</v>
      </c>
      <c r="T858" s="7"/>
      <c r="U858" s="7"/>
      <c r="V858" s="7"/>
      <c r="W858" s="7"/>
      <c r="X858" s="7"/>
      <c r="Y858" s="7"/>
      <c r="Z858" s="7"/>
      <c r="AA858" s="7"/>
      <c r="AB858" s="7">
        <v>0.33333333333333298</v>
      </c>
      <c r="AC858" s="7">
        <f t="shared" si="63"/>
        <v>0.33333333333333298</v>
      </c>
      <c r="AD858" s="7">
        <v>1</v>
      </c>
      <c r="AE858" s="7"/>
      <c r="AF858" s="7" t="s">
        <v>40</v>
      </c>
      <c r="AG858" s="7" t="s">
        <v>395</v>
      </c>
      <c r="AH858" s="7"/>
      <c r="AI858" s="7"/>
      <c r="AJ858" s="7"/>
      <c r="AK858" s="7"/>
      <c r="AL858" s="9"/>
      <c r="AM858" s="7" t="s">
        <v>71</v>
      </c>
      <c r="AN858" s="7" t="s">
        <v>71</v>
      </c>
      <c r="AO858" s="12"/>
    </row>
    <row r="859" spans="1:41" s="11" customFormat="1" x14ac:dyDescent="0.25">
      <c r="A859" s="2">
        <v>858</v>
      </c>
      <c r="B859" s="7" t="s">
        <v>730</v>
      </c>
      <c r="C859" s="7" t="s">
        <v>119</v>
      </c>
      <c r="D859" s="7">
        <v>2</v>
      </c>
      <c r="E859" s="7">
        <v>2</v>
      </c>
      <c r="F859" s="8">
        <v>1</v>
      </c>
      <c r="G859" s="8">
        <v>1</v>
      </c>
      <c r="H859" s="7">
        <v>1</v>
      </c>
      <c r="I859" s="7">
        <v>1</v>
      </c>
      <c r="J859" s="9" t="s">
        <v>35</v>
      </c>
      <c r="K859" s="7">
        <v>2</v>
      </c>
      <c r="L859" s="7" t="s">
        <v>52</v>
      </c>
      <c r="M859" s="7">
        <f t="shared" si="62"/>
        <v>1</v>
      </c>
      <c r="N859" s="9" t="s">
        <v>34</v>
      </c>
      <c r="O859" s="7">
        <v>0</v>
      </c>
      <c r="P859" s="9" t="s">
        <v>33</v>
      </c>
      <c r="Q859" s="7"/>
      <c r="R859" s="7" t="s">
        <v>38</v>
      </c>
      <c r="S859" s="10" t="s">
        <v>1546</v>
      </c>
      <c r="T859" s="7"/>
      <c r="U859" s="7"/>
      <c r="V859" s="7"/>
      <c r="W859" s="7"/>
      <c r="X859" s="7"/>
      <c r="Y859" s="7"/>
      <c r="Z859" s="7"/>
      <c r="AA859" s="7"/>
      <c r="AB859" s="7">
        <v>0.33333333333333298</v>
      </c>
      <c r="AC859" s="7">
        <f t="shared" si="63"/>
        <v>0.33333333333333298</v>
      </c>
      <c r="AD859" s="7">
        <v>1</v>
      </c>
      <c r="AE859" s="7"/>
      <c r="AF859" s="7" t="s">
        <v>40</v>
      </c>
      <c r="AG859" s="7"/>
      <c r="AH859" s="7"/>
      <c r="AI859" s="7"/>
      <c r="AJ859" s="7"/>
      <c r="AK859" s="7"/>
      <c r="AL859" s="9"/>
      <c r="AM859" s="7" t="s">
        <v>71</v>
      </c>
      <c r="AN859" s="7" t="s">
        <v>71</v>
      </c>
      <c r="AO859" s="12"/>
    </row>
    <row r="860" spans="1:41" s="11" customFormat="1" x14ac:dyDescent="0.25">
      <c r="A860" s="2">
        <v>859</v>
      </c>
      <c r="B860" s="7" t="s">
        <v>730</v>
      </c>
      <c r="C860" s="7" t="s">
        <v>119</v>
      </c>
      <c r="D860" s="7">
        <v>13</v>
      </c>
      <c r="E860" s="7">
        <v>13</v>
      </c>
      <c r="F860" s="8">
        <v>1</v>
      </c>
      <c r="G860" s="8">
        <v>1</v>
      </c>
      <c r="H860" s="7">
        <v>1</v>
      </c>
      <c r="I860" s="7">
        <v>1</v>
      </c>
      <c r="J860" s="9" t="s">
        <v>70</v>
      </c>
      <c r="K860" s="7">
        <v>2</v>
      </c>
      <c r="L860" s="7" t="s">
        <v>52</v>
      </c>
      <c r="M860" s="7">
        <f t="shared" si="62"/>
        <v>1</v>
      </c>
      <c r="N860" s="9" t="s">
        <v>82</v>
      </c>
      <c r="O860" s="7">
        <v>0</v>
      </c>
      <c r="P860" s="9" t="s">
        <v>34</v>
      </c>
      <c r="Q860" s="7"/>
      <c r="R860" s="7" t="s">
        <v>38</v>
      </c>
      <c r="S860" s="7"/>
      <c r="T860" s="7"/>
      <c r="U860" s="7"/>
      <c r="V860" s="7"/>
      <c r="W860" s="7"/>
      <c r="X860" s="7"/>
      <c r="Y860" s="7"/>
      <c r="Z860" s="7"/>
      <c r="AA860" s="7"/>
      <c r="AB860" s="7">
        <v>0.33333333333333298</v>
      </c>
      <c r="AC860" s="7">
        <f t="shared" si="63"/>
        <v>0.33333333333333298</v>
      </c>
      <c r="AD860" s="7">
        <v>1</v>
      </c>
      <c r="AE860" s="7"/>
      <c r="AF860" s="7" t="s">
        <v>40</v>
      </c>
      <c r="AG860" s="7" t="s">
        <v>747</v>
      </c>
      <c r="AH860" s="7"/>
      <c r="AI860" s="7"/>
      <c r="AJ860" s="7"/>
      <c r="AK860" s="7"/>
      <c r="AL860" s="9"/>
      <c r="AM860" s="7" t="s">
        <v>71</v>
      </c>
      <c r="AN860" s="7" t="s">
        <v>71</v>
      </c>
      <c r="AO860" s="15" t="s">
        <v>2584</v>
      </c>
    </row>
    <row r="861" spans="1:41" s="11" customFormat="1" ht="36" x14ac:dyDescent="0.25">
      <c r="A861" s="2">
        <v>860</v>
      </c>
      <c r="B861" s="7" t="s">
        <v>730</v>
      </c>
      <c r="C861" s="7" t="s">
        <v>78</v>
      </c>
      <c r="D861" s="7">
        <v>1</v>
      </c>
      <c r="E861" s="7">
        <v>1</v>
      </c>
      <c r="F861" s="8">
        <v>1</v>
      </c>
      <c r="G861" s="8">
        <v>1</v>
      </c>
      <c r="H861" s="7">
        <v>1</v>
      </c>
      <c r="I861" s="7">
        <v>1</v>
      </c>
      <c r="J861" s="9" t="s">
        <v>346</v>
      </c>
      <c r="K861" s="7">
        <v>2</v>
      </c>
      <c r="L861" s="7" t="s">
        <v>52</v>
      </c>
      <c r="M861" s="7">
        <f t="shared" si="62"/>
        <v>1</v>
      </c>
      <c r="N861" s="9" t="s">
        <v>34</v>
      </c>
      <c r="O861" s="7">
        <v>0</v>
      </c>
      <c r="P861" s="9" t="s">
        <v>33</v>
      </c>
      <c r="Q861" s="7" t="s">
        <v>38</v>
      </c>
      <c r="R861" s="7" t="s">
        <v>38</v>
      </c>
      <c r="S861" s="10" t="s">
        <v>1525</v>
      </c>
      <c r="T861" s="7">
        <v>5</v>
      </c>
      <c r="U861" s="7">
        <v>5</v>
      </c>
      <c r="V861" s="7">
        <v>100</v>
      </c>
      <c r="W861" s="7" t="s">
        <v>748</v>
      </c>
      <c r="X861" s="7"/>
      <c r="Y861" s="7"/>
      <c r="Z861" s="7"/>
      <c r="AA861" s="7"/>
      <c r="AB861" s="7">
        <f t="shared" ref="AB861:AB882" si="65">(U861+X861+Z861)/3</f>
        <v>1.6666666666666667</v>
      </c>
      <c r="AC861" s="7">
        <f t="shared" si="63"/>
        <v>1.6666666666666667</v>
      </c>
      <c r="AD861" s="7"/>
      <c r="AE861" s="7"/>
      <c r="AF861" s="7"/>
      <c r="AG861" s="7"/>
      <c r="AH861" s="7"/>
      <c r="AI861" s="7"/>
      <c r="AJ861" s="7"/>
      <c r="AK861" s="7"/>
      <c r="AL861" s="9"/>
      <c r="AM861" s="7" t="s">
        <v>71</v>
      </c>
      <c r="AN861" s="7" t="s">
        <v>71</v>
      </c>
      <c r="AO861" s="12"/>
    </row>
    <row r="862" spans="1:41" s="11" customFormat="1" ht="36" x14ac:dyDescent="0.25">
      <c r="A862" s="2">
        <v>861</v>
      </c>
      <c r="B862" s="7" t="s">
        <v>730</v>
      </c>
      <c r="C862" s="7" t="s">
        <v>78</v>
      </c>
      <c r="D862" s="7">
        <v>14</v>
      </c>
      <c r="E862" s="7">
        <v>14</v>
      </c>
      <c r="F862" s="8">
        <v>1</v>
      </c>
      <c r="G862" s="8">
        <v>1</v>
      </c>
      <c r="H862" s="7">
        <v>1</v>
      </c>
      <c r="I862" s="7">
        <v>1</v>
      </c>
      <c r="J862" s="9" t="s">
        <v>35</v>
      </c>
      <c r="K862" s="7">
        <v>2</v>
      </c>
      <c r="L862" s="7" t="s">
        <v>52</v>
      </c>
      <c r="M862" s="7">
        <f t="shared" si="62"/>
        <v>1</v>
      </c>
      <c r="N862" s="9" t="s">
        <v>34</v>
      </c>
      <c r="O862" s="7">
        <v>0</v>
      </c>
      <c r="P862" s="9" t="s">
        <v>33</v>
      </c>
      <c r="Q862" s="7" t="s">
        <v>38</v>
      </c>
      <c r="R862" s="7" t="s">
        <v>38</v>
      </c>
      <c r="S862" s="10" t="s">
        <v>1740</v>
      </c>
      <c r="T862" s="7">
        <v>3</v>
      </c>
      <c r="U862" s="7">
        <v>3</v>
      </c>
      <c r="V862" s="7" t="s">
        <v>267</v>
      </c>
      <c r="W862" s="7" t="s">
        <v>749</v>
      </c>
      <c r="X862" s="7"/>
      <c r="Y862" s="7"/>
      <c r="Z862" s="7"/>
      <c r="AA862" s="7"/>
      <c r="AB862" s="7">
        <f t="shared" si="65"/>
        <v>1</v>
      </c>
      <c r="AC862" s="7">
        <f t="shared" si="63"/>
        <v>1</v>
      </c>
      <c r="AD862" s="7"/>
      <c r="AE862" s="7"/>
      <c r="AF862" s="7"/>
      <c r="AG862" s="7"/>
      <c r="AH862" s="7"/>
      <c r="AI862" s="7"/>
      <c r="AJ862" s="7"/>
      <c r="AK862" s="10" t="s">
        <v>2462</v>
      </c>
      <c r="AL862" s="9"/>
      <c r="AM862" s="7" t="s">
        <v>85</v>
      </c>
      <c r="AN862" s="7" t="s">
        <v>2848</v>
      </c>
      <c r="AO862" s="12"/>
    </row>
    <row r="863" spans="1:41" s="11" customFormat="1" ht="24" x14ac:dyDescent="0.25">
      <c r="A863" s="2">
        <v>862</v>
      </c>
      <c r="B863" s="7" t="s">
        <v>730</v>
      </c>
      <c r="C863" s="7" t="s">
        <v>50</v>
      </c>
      <c r="D863" s="7">
        <v>81</v>
      </c>
      <c r="E863" s="7">
        <v>81</v>
      </c>
      <c r="F863" s="8">
        <v>1</v>
      </c>
      <c r="G863" s="8">
        <v>1</v>
      </c>
      <c r="H863" s="7">
        <v>1</v>
      </c>
      <c r="I863" s="7">
        <v>1</v>
      </c>
      <c r="J863" s="9" t="s">
        <v>35</v>
      </c>
      <c r="K863" s="7">
        <v>2</v>
      </c>
      <c r="L863" s="7" t="s">
        <v>52</v>
      </c>
      <c r="M863" s="7">
        <f t="shared" si="62"/>
        <v>1</v>
      </c>
      <c r="N863" s="9" t="s">
        <v>34</v>
      </c>
      <c r="O863" s="7">
        <v>1</v>
      </c>
      <c r="P863" s="9" t="s">
        <v>63</v>
      </c>
      <c r="Q863" s="7" t="s">
        <v>38</v>
      </c>
      <c r="R863" s="7" t="s">
        <v>38</v>
      </c>
      <c r="S863" s="10" t="s">
        <v>1959</v>
      </c>
      <c r="T863" s="7"/>
      <c r="U863" s="7"/>
      <c r="V863" s="7"/>
      <c r="W863" s="7"/>
      <c r="X863" s="7"/>
      <c r="Y863" s="7">
        <v>12</v>
      </c>
      <c r="Z863" s="7">
        <v>12</v>
      </c>
      <c r="AA863" s="7">
        <v>115</v>
      </c>
      <c r="AB863" s="7">
        <f t="shared" si="65"/>
        <v>4</v>
      </c>
      <c r="AC863" s="7">
        <f t="shared" si="63"/>
        <v>4</v>
      </c>
      <c r="AD863" s="7"/>
      <c r="AE863" s="7"/>
      <c r="AF863" s="7"/>
      <c r="AG863" s="7"/>
      <c r="AH863" s="7"/>
      <c r="AI863" s="7"/>
      <c r="AJ863" s="7"/>
      <c r="AK863" s="7"/>
      <c r="AL863" s="9"/>
      <c r="AM863" s="7" t="s">
        <v>85</v>
      </c>
      <c r="AN863" s="7" t="s">
        <v>2848</v>
      </c>
      <c r="AO863" s="12"/>
    </row>
    <row r="864" spans="1:41" s="11" customFormat="1" ht="24" x14ac:dyDescent="0.25">
      <c r="A864" s="2">
        <v>863</v>
      </c>
      <c r="B864" s="7" t="s">
        <v>730</v>
      </c>
      <c r="C864" s="7" t="s">
        <v>78</v>
      </c>
      <c r="D864" s="7">
        <v>2</v>
      </c>
      <c r="E864" s="7">
        <v>2</v>
      </c>
      <c r="F864" s="8">
        <v>1</v>
      </c>
      <c r="G864" s="8">
        <v>1</v>
      </c>
      <c r="H864" s="7">
        <v>1</v>
      </c>
      <c r="I864" s="7">
        <v>1</v>
      </c>
      <c r="J864" s="9" t="s">
        <v>35</v>
      </c>
      <c r="K864" s="7">
        <v>1</v>
      </c>
      <c r="L864" s="7" t="s">
        <v>52</v>
      </c>
      <c r="M864" s="7">
        <f t="shared" si="62"/>
        <v>1</v>
      </c>
      <c r="N864" s="9" t="s">
        <v>36</v>
      </c>
      <c r="O864" s="7">
        <v>0</v>
      </c>
      <c r="P864" s="9" t="s">
        <v>63</v>
      </c>
      <c r="Q864" s="7" t="s">
        <v>38</v>
      </c>
      <c r="R864" s="7" t="s">
        <v>38</v>
      </c>
      <c r="S864" s="10" t="s">
        <v>1953</v>
      </c>
      <c r="T864" s="7">
        <v>5</v>
      </c>
      <c r="U864" s="7">
        <v>5</v>
      </c>
      <c r="V864" s="7">
        <v>120</v>
      </c>
      <c r="W864" s="7" t="s">
        <v>83</v>
      </c>
      <c r="X864" s="7"/>
      <c r="Y864" s="7"/>
      <c r="Z864" s="7"/>
      <c r="AA864" s="7"/>
      <c r="AB864" s="7">
        <f t="shared" si="65"/>
        <v>1.6666666666666667</v>
      </c>
      <c r="AC864" s="7">
        <f t="shared" si="63"/>
        <v>1.6666666666666667</v>
      </c>
      <c r="AD864" s="7"/>
      <c r="AE864" s="7"/>
      <c r="AF864" s="7"/>
      <c r="AG864" s="7"/>
      <c r="AH864" s="7"/>
      <c r="AI864" s="7"/>
      <c r="AJ864" s="7"/>
      <c r="AK864" s="7"/>
      <c r="AL864" s="9"/>
      <c r="AM864" s="7" t="s">
        <v>71</v>
      </c>
      <c r="AN864" s="7" t="s">
        <v>71</v>
      </c>
      <c r="AO864" s="12"/>
    </row>
    <row r="865" spans="1:41" s="11" customFormat="1" ht="24" x14ac:dyDescent="0.25">
      <c r="A865" s="2">
        <v>864</v>
      </c>
      <c r="B865" s="7" t="s">
        <v>730</v>
      </c>
      <c r="C865" s="7" t="s">
        <v>89</v>
      </c>
      <c r="D865" s="7" t="s">
        <v>750</v>
      </c>
      <c r="E865" s="7">
        <f>26+27+21+30+10+4+12+6+4</f>
        <v>140</v>
      </c>
      <c r="F865" s="8">
        <v>22</v>
      </c>
      <c r="G865" s="8">
        <v>27</v>
      </c>
      <c r="H865" s="7" t="s">
        <v>667</v>
      </c>
      <c r="I865" s="7">
        <v>27</v>
      </c>
      <c r="J865" s="9" t="s">
        <v>35</v>
      </c>
      <c r="K865" s="7">
        <v>1</v>
      </c>
      <c r="L865" s="7" t="s">
        <v>52</v>
      </c>
      <c r="M865" s="7">
        <f t="shared" si="62"/>
        <v>22</v>
      </c>
      <c r="N865" s="9"/>
      <c r="O865" s="7"/>
      <c r="P865" s="9"/>
      <c r="Q865" s="7"/>
      <c r="R865" s="7"/>
      <c r="S865" s="7"/>
      <c r="T865" s="7"/>
      <c r="U865" s="7"/>
      <c r="V865" s="7"/>
      <c r="W865" s="7"/>
      <c r="X865" s="7">
        <v>3</v>
      </c>
      <c r="Y865" s="7"/>
      <c r="Z865" s="7"/>
      <c r="AA865" s="7"/>
      <c r="AB865" s="7">
        <f t="shared" si="65"/>
        <v>1</v>
      </c>
      <c r="AC865" s="7">
        <f t="shared" si="63"/>
        <v>1</v>
      </c>
      <c r="AD865" s="7"/>
      <c r="AE865" s="7"/>
      <c r="AF865" s="7"/>
      <c r="AG865" s="7"/>
      <c r="AH865" s="7"/>
      <c r="AI865" s="7"/>
      <c r="AJ865" s="7"/>
      <c r="AK865" s="7"/>
      <c r="AL865" s="9"/>
      <c r="AM865" s="7" t="s">
        <v>71</v>
      </c>
      <c r="AN865" s="7" t="s">
        <v>71</v>
      </c>
      <c r="AO865" s="12"/>
    </row>
    <row r="866" spans="1:41" s="11" customFormat="1" x14ac:dyDescent="0.25">
      <c r="A866" s="2">
        <v>865</v>
      </c>
      <c r="B866" s="7" t="s">
        <v>730</v>
      </c>
      <c r="C866" s="7" t="s">
        <v>89</v>
      </c>
      <c r="D866" s="7" t="s">
        <v>751</v>
      </c>
      <c r="E866" s="7">
        <f>13+16+12+9+7+3</f>
        <v>60</v>
      </c>
      <c r="F866" s="8">
        <v>10</v>
      </c>
      <c r="G866" s="8">
        <v>11</v>
      </c>
      <c r="H866" s="7" t="s">
        <v>752</v>
      </c>
      <c r="I866" s="7">
        <v>11</v>
      </c>
      <c r="J866" s="9" t="s">
        <v>35</v>
      </c>
      <c r="K866" s="7">
        <v>2</v>
      </c>
      <c r="L866" s="7" t="s">
        <v>52</v>
      </c>
      <c r="M866" s="7">
        <f t="shared" si="62"/>
        <v>10</v>
      </c>
      <c r="N866" s="9"/>
      <c r="O866" s="7"/>
      <c r="P866" s="9"/>
      <c r="Q866" s="7"/>
      <c r="R866" s="7"/>
      <c r="S866" s="7"/>
      <c r="T866" s="7"/>
      <c r="U866" s="7"/>
      <c r="V866" s="7"/>
      <c r="W866" s="7"/>
      <c r="X866" s="7">
        <v>3</v>
      </c>
      <c r="Y866" s="7"/>
      <c r="Z866" s="7"/>
      <c r="AA866" s="7"/>
      <c r="AB866" s="7">
        <f t="shared" si="65"/>
        <v>1</v>
      </c>
      <c r="AC866" s="7">
        <f t="shared" si="63"/>
        <v>1</v>
      </c>
      <c r="AD866" s="7"/>
      <c r="AE866" s="7"/>
      <c r="AF866" s="7"/>
      <c r="AG866" s="7"/>
      <c r="AH866" s="7"/>
      <c r="AI866" s="7"/>
      <c r="AJ866" s="7"/>
      <c r="AK866" s="7"/>
      <c r="AL866" s="9"/>
      <c r="AM866" s="7" t="s">
        <v>71</v>
      </c>
      <c r="AN866" s="7" t="s">
        <v>71</v>
      </c>
      <c r="AO866" s="12"/>
    </row>
    <row r="867" spans="1:41" s="11" customFormat="1" x14ac:dyDescent="0.25">
      <c r="A867" s="2">
        <v>866</v>
      </c>
      <c r="B867" s="7" t="s">
        <v>730</v>
      </c>
      <c r="C867" s="7" t="s">
        <v>89</v>
      </c>
      <c r="D867" s="7" t="s">
        <v>320</v>
      </c>
      <c r="E867" s="7">
        <v>8</v>
      </c>
      <c r="F867" s="8">
        <v>1</v>
      </c>
      <c r="G867" s="8">
        <v>2</v>
      </c>
      <c r="H867" s="7" t="s">
        <v>87</v>
      </c>
      <c r="I867" s="7">
        <v>2</v>
      </c>
      <c r="J867" s="9" t="s">
        <v>35</v>
      </c>
      <c r="K867" s="7">
        <v>2</v>
      </c>
      <c r="L867" s="7" t="s">
        <v>52</v>
      </c>
      <c r="M867" s="7">
        <f t="shared" si="62"/>
        <v>1</v>
      </c>
      <c r="N867" s="9" t="s">
        <v>34</v>
      </c>
      <c r="O867" s="7">
        <v>1</v>
      </c>
      <c r="P867" s="9" t="s">
        <v>63</v>
      </c>
      <c r="Q867" s="7" t="s">
        <v>52</v>
      </c>
      <c r="R867" s="7" t="s">
        <v>38</v>
      </c>
      <c r="S867" s="7"/>
      <c r="T867" s="7"/>
      <c r="U867" s="7"/>
      <c r="V867" s="7"/>
      <c r="W867" s="7"/>
      <c r="X867" s="7">
        <v>3</v>
      </c>
      <c r="Y867" s="7"/>
      <c r="Z867" s="7"/>
      <c r="AA867" s="7"/>
      <c r="AB867" s="7">
        <f t="shared" si="65"/>
        <v>1</v>
      </c>
      <c r="AC867" s="7">
        <f t="shared" si="63"/>
        <v>1</v>
      </c>
      <c r="AD867" s="7"/>
      <c r="AE867" s="7"/>
      <c r="AF867" s="7"/>
      <c r="AG867" s="7"/>
      <c r="AH867" s="7"/>
      <c r="AI867" s="7"/>
      <c r="AJ867" s="10" t="s">
        <v>2369</v>
      </c>
      <c r="AK867" s="7"/>
      <c r="AL867" s="9"/>
      <c r="AM867" s="7" t="s">
        <v>71</v>
      </c>
      <c r="AN867" s="7" t="s">
        <v>71</v>
      </c>
      <c r="AO867" s="12"/>
    </row>
    <row r="868" spans="1:41" s="11" customFormat="1" x14ac:dyDescent="0.25">
      <c r="A868" s="2">
        <v>867</v>
      </c>
      <c r="B868" s="7" t="s">
        <v>730</v>
      </c>
      <c r="C868" s="7" t="s">
        <v>89</v>
      </c>
      <c r="D868" s="7" t="s">
        <v>753</v>
      </c>
      <c r="E868" s="7">
        <v>21</v>
      </c>
      <c r="F868" s="8">
        <v>3</v>
      </c>
      <c r="G868" s="8">
        <v>4</v>
      </c>
      <c r="H868" s="7" t="s">
        <v>91</v>
      </c>
      <c r="I868" s="7">
        <v>4</v>
      </c>
      <c r="J868" s="9" t="s">
        <v>219</v>
      </c>
      <c r="K868" s="7">
        <v>1</v>
      </c>
      <c r="L868" s="7" t="s">
        <v>52</v>
      </c>
      <c r="M868" s="7">
        <f t="shared" si="62"/>
        <v>3</v>
      </c>
      <c r="N868" s="9"/>
      <c r="O868" s="7"/>
      <c r="P868" s="9"/>
      <c r="Q868" s="7"/>
      <c r="R868" s="7"/>
      <c r="S868" s="7"/>
      <c r="T868" s="7"/>
      <c r="U868" s="7"/>
      <c r="V868" s="7"/>
      <c r="W868" s="7"/>
      <c r="X868" s="7">
        <v>3</v>
      </c>
      <c r="Y868" s="7"/>
      <c r="Z868" s="7"/>
      <c r="AA868" s="7"/>
      <c r="AB868" s="7">
        <f t="shared" si="65"/>
        <v>1</v>
      </c>
      <c r="AC868" s="7">
        <f t="shared" si="63"/>
        <v>1</v>
      </c>
      <c r="AD868" s="7"/>
      <c r="AE868" s="7"/>
      <c r="AF868" s="7"/>
      <c r="AG868" s="7"/>
      <c r="AH868" s="7"/>
      <c r="AI868" s="7"/>
      <c r="AJ868" s="7"/>
      <c r="AK868" s="7"/>
      <c r="AL868" s="9"/>
      <c r="AM868" s="7" t="s">
        <v>71</v>
      </c>
      <c r="AN868" s="7" t="s">
        <v>71</v>
      </c>
      <c r="AO868" s="12"/>
    </row>
    <row r="869" spans="1:41" s="11" customFormat="1" x14ac:dyDescent="0.25">
      <c r="A869" s="2">
        <v>868</v>
      </c>
      <c r="B869" s="7" t="s">
        <v>730</v>
      </c>
      <c r="C869" s="7" t="s">
        <v>89</v>
      </c>
      <c r="D869" s="7" t="s">
        <v>384</v>
      </c>
      <c r="E869" s="7">
        <v>6</v>
      </c>
      <c r="F869" s="8">
        <v>1</v>
      </c>
      <c r="G869" s="8">
        <v>1</v>
      </c>
      <c r="H869" s="7">
        <v>1</v>
      </c>
      <c r="I869" s="7">
        <v>1</v>
      </c>
      <c r="J869" s="9" t="s">
        <v>639</v>
      </c>
      <c r="K869" s="7"/>
      <c r="L869" s="7" t="s">
        <v>38</v>
      </c>
      <c r="M869" s="7">
        <f t="shared" si="62"/>
        <v>0</v>
      </c>
      <c r="N869" s="9"/>
      <c r="O869" s="7"/>
      <c r="P869" s="9"/>
      <c r="Q869" s="7"/>
      <c r="R869" s="7"/>
      <c r="S869" s="7"/>
      <c r="T869" s="7"/>
      <c r="U869" s="7"/>
      <c r="V869" s="7"/>
      <c r="W869" s="7"/>
      <c r="X869" s="7">
        <v>3</v>
      </c>
      <c r="Y869" s="7"/>
      <c r="Z869" s="7"/>
      <c r="AA869" s="7"/>
      <c r="AB869" s="7">
        <f t="shared" si="65"/>
        <v>1</v>
      </c>
      <c r="AC869" s="7">
        <f t="shared" si="63"/>
        <v>0</v>
      </c>
      <c r="AD869" s="7"/>
      <c r="AE869" s="7"/>
      <c r="AF869" s="7"/>
      <c r="AG869" s="7"/>
      <c r="AH869" s="7"/>
      <c r="AI869" s="7"/>
      <c r="AJ869" s="7"/>
      <c r="AK869" s="7"/>
      <c r="AL869" s="9"/>
      <c r="AM869" s="7"/>
      <c r="AN869" s="7"/>
      <c r="AO869" s="15" t="s">
        <v>2585</v>
      </c>
    </row>
    <row r="870" spans="1:41" s="11" customFormat="1" x14ac:dyDescent="0.25">
      <c r="A870" s="2">
        <v>869</v>
      </c>
      <c r="B870" s="7" t="s">
        <v>730</v>
      </c>
      <c r="C870" s="7" t="s">
        <v>50</v>
      </c>
      <c r="D870" s="7">
        <v>3</v>
      </c>
      <c r="E870" s="7">
        <v>3</v>
      </c>
      <c r="F870" s="8">
        <v>1</v>
      </c>
      <c r="G870" s="8">
        <v>1</v>
      </c>
      <c r="H870" s="7">
        <v>1</v>
      </c>
      <c r="I870" s="7">
        <v>1</v>
      </c>
      <c r="J870" s="9" t="s">
        <v>176</v>
      </c>
      <c r="K870" s="7">
        <v>3</v>
      </c>
      <c r="L870" s="7" t="s">
        <v>52</v>
      </c>
      <c r="M870" s="7">
        <f t="shared" si="62"/>
        <v>1</v>
      </c>
      <c r="N870" s="9" t="s">
        <v>177</v>
      </c>
      <c r="O870" s="7">
        <v>0</v>
      </c>
      <c r="P870" s="9" t="s">
        <v>63</v>
      </c>
      <c r="Q870" s="7" t="s">
        <v>38</v>
      </c>
      <c r="R870" s="7"/>
      <c r="S870" s="10" t="s">
        <v>1492</v>
      </c>
      <c r="T870" s="7"/>
      <c r="U870" s="7"/>
      <c r="V870" s="7"/>
      <c r="W870" s="7"/>
      <c r="X870" s="7"/>
      <c r="Y870" s="7" t="s">
        <v>92</v>
      </c>
      <c r="Z870" s="7">
        <v>3</v>
      </c>
      <c r="AA870" s="7" t="s">
        <v>76</v>
      </c>
      <c r="AB870" s="7">
        <f t="shared" si="65"/>
        <v>1</v>
      </c>
      <c r="AC870" s="7">
        <f t="shared" si="63"/>
        <v>1</v>
      </c>
      <c r="AD870" s="7"/>
      <c r="AE870" s="7"/>
      <c r="AF870" s="7"/>
      <c r="AG870" s="7"/>
      <c r="AH870" s="7"/>
      <c r="AI870" s="7"/>
      <c r="AJ870" s="7"/>
      <c r="AK870" s="7"/>
      <c r="AL870" s="9"/>
      <c r="AM870" s="7" t="s">
        <v>71</v>
      </c>
      <c r="AN870" s="7" t="s">
        <v>71</v>
      </c>
      <c r="AO870" s="12"/>
    </row>
    <row r="871" spans="1:41" s="11" customFormat="1" x14ac:dyDescent="0.25">
      <c r="A871" s="2">
        <v>870</v>
      </c>
      <c r="B871" s="7" t="s">
        <v>730</v>
      </c>
      <c r="C871" s="7" t="s">
        <v>100</v>
      </c>
      <c r="D871" s="7">
        <v>1</v>
      </c>
      <c r="E871" s="7">
        <v>1</v>
      </c>
      <c r="F871" s="8">
        <v>1</v>
      </c>
      <c r="G871" s="8">
        <v>1</v>
      </c>
      <c r="H871" s="7">
        <v>1</v>
      </c>
      <c r="I871" s="7">
        <v>1</v>
      </c>
      <c r="J871" s="9" t="s">
        <v>176</v>
      </c>
      <c r="K871" s="7">
        <v>3</v>
      </c>
      <c r="L871" s="7" t="s">
        <v>52</v>
      </c>
      <c r="M871" s="7">
        <f t="shared" si="62"/>
        <v>1</v>
      </c>
      <c r="N871" s="9"/>
      <c r="O871" s="7"/>
      <c r="P871" s="9"/>
      <c r="Q871" s="7"/>
      <c r="R871" s="7"/>
      <c r="S871" s="7"/>
      <c r="T871" s="7"/>
      <c r="U871" s="7"/>
      <c r="V871" s="7"/>
      <c r="W871" s="7"/>
      <c r="X871" s="7">
        <v>3</v>
      </c>
      <c r="Y871" s="7"/>
      <c r="Z871" s="7"/>
      <c r="AA871" s="7"/>
      <c r="AB871" s="7">
        <f t="shared" si="65"/>
        <v>1</v>
      </c>
      <c r="AC871" s="7">
        <f t="shared" si="63"/>
        <v>1</v>
      </c>
      <c r="AD871" s="7"/>
      <c r="AE871" s="7"/>
      <c r="AF871" s="7"/>
      <c r="AG871" s="7"/>
      <c r="AH871" s="7"/>
      <c r="AI871" s="7"/>
      <c r="AJ871" s="7"/>
      <c r="AK871" s="7"/>
      <c r="AL871" s="9"/>
      <c r="AM871" s="7" t="s">
        <v>71</v>
      </c>
      <c r="AN871" s="7" t="s">
        <v>71</v>
      </c>
      <c r="AO871" s="12"/>
    </row>
    <row r="872" spans="1:41" s="11" customFormat="1" ht="24" x14ac:dyDescent="0.25">
      <c r="A872" s="2">
        <v>871</v>
      </c>
      <c r="B872" s="7" t="s">
        <v>730</v>
      </c>
      <c r="C872" s="7" t="s">
        <v>50</v>
      </c>
      <c r="D872" s="7">
        <v>32</v>
      </c>
      <c r="E872" s="7">
        <v>32</v>
      </c>
      <c r="F872" s="8">
        <v>1</v>
      </c>
      <c r="G872" s="8">
        <v>1</v>
      </c>
      <c r="H872" s="7">
        <v>1</v>
      </c>
      <c r="I872" s="7">
        <v>1</v>
      </c>
      <c r="J872" s="9" t="s">
        <v>176</v>
      </c>
      <c r="K872" s="7">
        <v>10</v>
      </c>
      <c r="L872" s="7" t="s">
        <v>52</v>
      </c>
      <c r="M872" s="7">
        <f t="shared" si="62"/>
        <v>1</v>
      </c>
      <c r="N872" s="9" t="s">
        <v>109</v>
      </c>
      <c r="O872" s="7">
        <v>0</v>
      </c>
      <c r="P872" s="9" t="s">
        <v>63</v>
      </c>
      <c r="Q872" s="7" t="s">
        <v>38</v>
      </c>
      <c r="R872" s="7" t="s">
        <v>52</v>
      </c>
      <c r="S872" s="10" t="s">
        <v>1960</v>
      </c>
      <c r="T872" s="7"/>
      <c r="U872" s="7"/>
      <c r="V872" s="7"/>
      <c r="W872" s="7"/>
      <c r="X872" s="7"/>
      <c r="Y872" s="7">
        <v>15</v>
      </c>
      <c r="Z872" s="7">
        <v>15</v>
      </c>
      <c r="AA872" s="7">
        <v>90</v>
      </c>
      <c r="AB872" s="7">
        <f t="shared" si="65"/>
        <v>5</v>
      </c>
      <c r="AC872" s="7">
        <f t="shared" si="63"/>
        <v>5</v>
      </c>
      <c r="AD872" s="7"/>
      <c r="AE872" s="7"/>
      <c r="AF872" s="7"/>
      <c r="AG872" s="7"/>
      <c r="AH872" s="7"/>
      <c r="AI872" s="10" t="s">
        <v>2309</v>
      </c>
      <c r="AJ872" s="7"/>
      <c r="AK872" s="7"/>
      <c r="AL872" s="9"/>
      <c r="AM872" s="7" t="s">
        <v>71</v>
      </c>
      <c r="AN872" s="7" t="s">
        <v>71</v>
      </c>
      <c r="AO872" s="12"/>
    </row>
    <row r="873" spans="1:41" s="11" customFormat="1" x14ac:dyDescent="0.25">
      <c r="A873" s="2">
        <v>872</v>
      </c>
      <c r="B873" s="7" t="s">
        <v>730</v>
      </c>
      <c r="C873" s="7" t="s">
        <v>89</v>
      </c>
      <c r="D873" s="7" t="s">
        <v>754</v>
      </c>
      <c r="E873" s="7">
        <v>7</v>
      </c>
      <c r="F873" s="8">
        <v>3</v>
      </c>
      <c r="G873" s="8">
        <v>4</v>
      </c>
      <c r="H873" s="7" t="s">
        <v>91</v>
      </c>
      <c r="I873" s="7">
        <v>4</v>
      </c>
      <c r="J873" s="9" t="s">
        <v>176</v>
      </c>
      <c r="K873" s="7">
        <v>10</v>
      </c>
      <c r="L873" s="7" t="s">
        <v>52</v>
      </c>
      <c r="M873" s="7">
        <f t="shared" si="62"/>
        <v>3</v>
      </c>
      <c r="N873" s="9"/>
      <c r="O873" s="7"/>
      <c r="P873" s="9"/>
      <c r="Q873" s="7"/>
      <c r="R873" s="7"/>
      <c r="S873" s="7"/>
      <c r="T873" s="7"/>
      <c r="U873" s="7"/>
      <c r="V873" s="7"/>
      <c r="W873" s="7"/>
      <c r="X873" s="7">
        <v>3</v>
      </c>
      <c r="Y873" s="7"/>
      <c r="Z873" s="7"/>
      <c r="AA873" s="7"/>
      <c r="AB873" s="7">
        <f t="shared" si="65"/>
        <v>1</v>
      </c>
      <c r="AC873" s="7">
        <f t="shared" si="63"/>
        <v>1</v>
      </c>
      <c r="AD873" s="7"/>
      <c r="AE873" s="7"/>
      <c r="AF873" s="7"/>
      <c r="AG873" s="7"/>
      <c r="AH873" s="7"/>
      <c r="AI873" s="7"/>
      <c r="AJ873" s="7"/>
      <c r="AK873" s="7"/>
      <c r="AL873" s="9"/>
      <c r="AM873" s="7" t="s">
        <v>71</v>
      </c>
      <c r="AN873" s="7" t="s">
        <v>71</v>
      </c>
      <c r="AO873" s="12"/>
    </row>
    <row r="874" spans="1:41" s="11" customFormat="1" ht="24" x14ac:dyDescent="0.25">
      <c r="A874" s="2">
        <v>873</v>
      </c>
      <c r="B874" s="7" t="s">
        <v>755</v>
      </c>
      <c r="C874" s="7" t="s">
        <v>32</v>
      </c>
      <c r="D874" s="7" t="s">
        <v>756</v>
      </c>
      <c r="E874" s="7">
        <f>44+12+11+2</f>
        <v>69</v>
      </c>
      <c r="F874" s="8">
        <v>1</v>
      </c>
      <c r="G874" s="8">
        <v>4</v>
      </c>
      <c r="H874" s="7">
        <v>4</v>
      </c>
      <c r="I874" s="7">
        <v>4</v>
      </c>
      <c r="J874" s="9" t="s">
        <v>35</v>
      </c>
      <c r="K874" s="7">
        <v>2</v>
      </c>
      <c r="L874" s="7" t="s">
        <v>52</v>
      </c>
      <c r="M874" s="7">
        <f t="shared" si="62"/>
        <v>1</v>
      </c>
      <c r="N874" s="9" t="s">
        <v>34</v>
      </c>
      <c r="O874" s="7">
        <v>1</v>
      </c>
      <c r="P874" s="9" t="s">
        <v>63</v>
      </c>
      <c r="Q874" s="7" t="s">
        <v>38</v>
      </c>
      <c r="R874" s="7" t="s">
        <v>38</v>
      </c>
      <c r="S874" s="10" t="s">
        <v>1961</v>
      </c>
      <c r="T874" s="7"/>
      <c r="U874" s="7"/>
      <c r="V874" s="7"/>
      <c r="W874" s="7"/>
      <c r="X874" s="7">
        <v>10</v>
      </c>
      <c r="Y874" s="7">
        <v>100</v>
      </c>
      <c r="Z874" s="7">
        <v>100</v>
      </c>
      <c r="AA874" s="7">
        <v>47</v>
      </c>
      <c r="AB874" s="7">
        <f t="shared" si="65"/>
        <v>36.666666666666664</v>
      </c>
      <c r="AC874" s="7">
        <f t="shared" si="63"/>
        <v>36.666666666666664</v>
      </c>
      <c r="AD874" s="7"/>
      <c r="AE874" s="7">
        <v>1</v>
      </c>
      <c r="AF874" s="7" t="s">
        <v>40</v>
      </c>
      <c r="AG874" s="7" t="s">
        <v>757</v>
      </c>
      <c r="AH874" s="7" t="s">
        <v>451</v>
      </c>
      <c r="AI874" s="7"/>
      <c r="AJ874" s="7"/>
      <c r="AK874" s="7"/>
      <c r="AL874" s="9"/>
      <c r="AM874" s="7" t="s">
        <v>42</v>
      </c>
      <c r="AN874" s="7" t="s">
        <v>42</v>
      </c>
      <c r="AO874" s="12"/>
    </row>
    <row r="875" spans="1:41" s="11" customFormat="1" ht="24" x14ac:dyDescent="0.25">
      <c r="A875" s="2">
        <v>874</v>
      </c>
      <c r="B875" s="7" t="s">
        <v>755</v>
      </c>
      <c r="C875" s="7" t="s">
        <v>50</v>
      </c>
      <c r="D875" s="7">
        <v>78</v>
      </c>
      <c r="E875" s="7">
        <v>78</v>
      </c>
      <c r="F875" s="8">
        <v>1</v>
      </c>
      <c r="G875" s="8">
        <v>1</v>
      </c>
      <c r="H875" s="7">
        <v>1</v>
      </c>
      <c r="I875" s="7">
        <v>1</v>
      </c>
      <c r="J875" s="9" t="s">
        <v>77</v>
      </c>
      <c r="K875" s="7">
        <v>1</v>
      </c>
      <c r="L875" s="7" t="s">
        <v>52</v>
      </c>
      <c r="M875" s="7">
        <f t="shared" si="62"/>
        <v>1</v>
      </c>
      <c r="N875" s="9" t="s">
        <v>34</v>
      </c>
      <c r="O875" s="7">
        <v>0</v>
      </c>
      <c r="P875" s="9" t="s">
        <v>63</v>
      </c>
      <c r="Q875" s="7" t="s">
        <v>38</v>
      </c>
      <c r="R875" s="7" t="s">
        <v>38</v>
      </c>
      <c r="S875" s="10" t="s">
        <v>1962</v>
      </c>
      <c r="T875" s="7"/>
      <c r="U875" s="7"/>
      <c r="V875" s="7"/>
      <c r="W875" s="7"/>
      <c r="X875" s="7"/>
      <c r="Y875" s="7">
        <v>100</v>
      </c>
      <c r="Z875" s="7">
        <v>100</v>
      </c>
      <c r="AA875" s="7">
        <v>67</v>
      </c>
      <c r="AB875" s="7">
        <f t="shared" si="65"/>
        <v>33.333333333333336</v>
      </c>
      <c r="AC875" s="7">
        <f t="shared" si="63"/>
        <v>33.333333333333336</v>
      </c>
      <c r="AD875" s="7"/>
      <c r="AE875" s="7"/>
      <c r="AF875" s="7"/>
      <c r="AG875" s="7"/>
      <c r="AH875" s="7"/>
      <c r="AI875" s="7"/>
      <c r="AJ875" s="7"/>
      <c r="AK875" s="7"/>
      <c r="AL875" s="9"/>
      <c r="AM875" s="7" t="s">
        <v>42</v>
      </c>
      <c r="AN875" s="7" t="s">
        <v>42</v>
      </c>
      <c r="AO875" s="12"/>
    </row>
    <row r="876" spans="1:41" s="11" customFormat="1" x14ac:dyDescent="0.25">
      <c r="A876" s="2">
        <v>875</v>
      </c>
      <c r="B876" s="7" t="s">
        <v>755</v>
      </c>
      <c r="C876" s="7" t="s">
        <v>100</v>
      </c>
      <c r="D876" s="7">
        <v>9</v>
      </c>
      <c r="E876" s="7">
        <v>9</v>
      </c>
      <c r="F876" s="8">
        <v>1</v>
      </c>
      <c r="G876" s="8">
        <v>1</v>
      </c>
      <c r="H876" s="7">
        <v>1</v>
      </c>
      <c r="I876" s="7">
        <v>1</v>
      </c>
      <c r="J876" s="9" t="s">
        <v>70</v>
      </c>
      <c r="K876" s="7">
        <v>1</v>
      </c>
      <c r="L876" s="7" t="s">
        <v>52</v>
      </c>
      <c r="M876" s="7">
        <f t="shared" si="62"/>
        <v>1</v>
      </c>
      <c r="N876" s="9"/>
      <c r="O876" s="7"/>
      <c r="P876" s="9"/>
      <c r="Q876" s="7"/>
      <c r="R876" s="7"/>
      <c r="S876" s="7"/>
      <c r="T876" s="7"/>
      <c r="U876" s="7"/>
      <c r="V876" s="7"/>
      <c r="W876" s="7"/>
      <c r="X876" s="7">
        <v>3</v>
      </c>
      <c r="Y876" s="7"/>
      <c r="Z876" s="7"/>
      <c r="AA876" s="7"/>
      <c r="AB876" s="7">
        <f t="shared" si="65"/>
        <v>1</v>
      </c>
      <c r="AC876" s="7">
        <f t="shared" si="63"/>
        <v>1</v>
      </c>
      <c r="AD876" s="7"/>
      <c r="AE876" s="7"/>
      <c r="AF876" s="7"/>
      <c r="AG876" s="7"/>
      <c r="AH876" s="7"/>
      <c r="AI876" s="7"/>
      <c r="AJ876" s="7"/>
      <c r="AK876" s="7"/>
      <c r="AL876" s="9"/>
      <c r="AM876" s="7" t="s">
        <v>71</v>
      </c>
      <c r="AN876" s="7" t="s">
        <v>71</v>
      </c>
      <c r="AO876" s="12"/>
    </row>
    <row r="877" spans="1:41" s="11" customFormat="1" ht="24" x14ac:dyDescent="0.25">
      <c r="A877" s="2">
        <v>876</v>
      </c>
      <c r="B877" s="7" t="s">
        <v>755</v>
      </c>
      <c r="C877" s="7" t="s">
        <v>78</v>
      </c>
      <c r="D877" s="7">
        <v>3</v>
      </c>
      <c r="E877" s="7">
        <v>3</v>
      </c>
      <c r="F877" s="8">
        <v>1</v>
      </c>
      <c r="G877" s="8">
        <v>1</v>
      </c>
      <c r="H877" s="7">
        <v>1</v>
      </c>
      <c r="I877" s="7">
        <v>1</v>
      </c>
      <c r="J877" s="9" t="s">
        <v>35</v>
      </c>
      <c r="K877" s="7">
        <v>2</v>
      </c>
      <c r="L877" s="7" t="s">
        <v>52</v>
      </c>
      <c r="M877" s="7">
        <f t="shared" si="62"/>
        <v>1</v>
      </c>
      <c r="N877" s="9" t="s">
        <v>34</v>
      </c>
      <c r="O877" s="7">
        <v>0</v>
      </c>
      <c r="P877" s="9" t="s">
        <v>33</v>
      </c>
      <c r="Q877" s="7" t="s">
        <v>38</v>
      </c>
      <c r="R877" s="7" t="s">
        <v>38</v>
      </c>
      <c r="S877" s="10" t="s">
        <v>1963</v>
      </c>
      <c r="T877" s="7">
        <v>10</v>
      </c>
      <c r="U877" s="7">
        <v>10</v>
      </c>
      <c r="V877" s="7">
        <v>60</v>
      </c>
      <c r="W877" s="7" t="s">
        <v>758</v>
      </c>
      <c r="X877" s="7"/>
      <c r="Y877" s="7"/>
      <c r="Z877" s="7"/>
      <c r="AA877" s="7"/>
      <c r="AB877" s="7">
        <f t="shared" si="65"/>
        <v>3.3333333333333335</v>
      </c>
      <c r="AC877" s="7">
        <f t="shared" si="63"/>
        <v>3.3333333333333335</v>
      </c>
      <c r="AD877" s="7"/>
      <c r="AE877" s="7"/>
      <c r="AF877" s="7"/>
      <c r="AG877" s="7"/>
      <c r="AH877" s="7"/>
      <c r="AI877" s="7"/>
      <c r="AJ877" s="10" t="s">
        <v>252</v>
      </c>
      <c r="AK877" s="7"/>
      <c r="AL877" s="9"/>
      <c r="AM877" s="7" t="s">
        <v>42</v>
      </c>
      <c r="AN877" s="7" t="s">
        <v>42</v>
      </c>
      <c r="AO877" s="12"/>
    </row>
    <row r="878" spans="1:41" s="11" customFormat="1" x14ac:dyDescent="0.25">
      <c r="A878" s="2">
        <v>877</v>
      </c>
      <c r="B878" s="7" t="s">
        <v>755</v>
      </c>
      <c r="C878" s="7" t="s">
        <v>104</v>
      </c>
      <c r="D878" s="7">
        <v>3</v>
      </c>
      <c r="E878" s="7">
        <v>3</v>
      </c>
      <c r="F878" s="8">
        <v>1</v>
      </c>
      <c r="G878" s="8">
        <v>1</v>
      </c>
      <c r="H878" s="7">
        <v>1</v>
      </c>
      <c r="I878" s="7">
        <v>1</v>
      </c>
      <c r="J878" s="9" t="s">
        <v>70</v>
      </c>
      <c r="K878" s="7">
        <v>1</v>
      </c>
      <c r="L878" s="7" t="s">
        <v>52</v>
      </c>
      <c r="M878" s="7">
        <f t="shared" si="62"/>
        <v>1</v>
      </c>
      <c r="N878" s="9" t="s">
        <v>82</v>
      </c>
      <c r="O878" s="7">
        <v>0</v>
      </c>
      <c r="P878" s="9" t="s">
        <v>36</v>
      </c>
      <c r="Q878" s="7" t="s">
        <v>38</v>
      </c>
      <c r="R878" s="7" t="s">
        <v>38</v>
      </c>
      <c r="S878" s="10" t="s">
        <v>1630</v>
      </c>
      <c r="T878" s="7"/>
      <c r="U878" s="7"/>
      <c r="V878" s="7"/>
      <c r="W878" s="7"/>
      <c r="X878" s="7">
        <v>3</v>
      </c>
      <c r="Y878" s="7"/>
      <c r="Z878" s="7"/>
      <c r="AA878" s="7"/>
      <c r="AB878" s="7">
        <f t="shared" si="65"/>
        <v>1</v>
      </c>
      <c r="AC878" s="7">
        <f t="shared" si="63"/>
        <v>1</v>
      </c>
      <c r="AD878" s="7"/>
      <c r="AE878" s="7">
        <v>1</v>
      </c>
      <c r="AF878" s="7" t="s">
        <v>40</v>
      </c>
      <c r="AG878" s="7" t="s">
        <v>759</v>
      </c>
      <c r="AH878" s="7"/>
      <c r="AI878" s="7"/>
      <c r="AJ878" s="7"/>
      <c r="AK878" s="7"/>
      <c r="AL878" s="9"/>
      <c r="AM878" s="7" t="s">
        <v>71</v>
      </c>
      <c r="AN878" s="7" t="s">
        <v>71</v>
      </c>
      <c r="AO878" s="12"/>
    </row>
    <row r="879" spans="1:41" s="11" customFormat="1" x14ac:dyDescent="0.25">
      <c r="A879" s="2">
        <v>878</v>
      </c>
      <c r="B879" s="7" t="s">
        <v>755</v>
      </c>
      <c r="C879" s="7" t="s">
        <v>104</v>
      </c>
      <c r="D879" s="7">
        <v>8</v>
      </c>
      <c r="E879" s="7">
        <v>8</v>
      </c>
      <c r="F879" s="8">
        <v>1</v>
      </c>
      <c r="G879" s="8">
        <v>1</v>
      </c>
      <c r="H879" s="7">
        <v>1</v>
      </c>
      <c r="I879" s="7">
        <v>1</v>
      </c>
      <c r="J879" s="9" t="s">
        <v>35</v>
      </c>
      <c r="K879" s="7">
        <v>1</v>
      </c>
      <c r="L879" s="7" t="s">
        <v>52</v>
      </c>
      <c r="M879" s="7">
        <f t="shared" si="62"/>
        <v>1</v>
      </c>
      <c r="N879" s="9" t="s">
        <v>34</v>
      </c>
      <c r="O879" s="7">
        <v>0</v>
      </c>
      <c r="P879" s="9" t="s">
        <v>37</v>
      </c>
      <c r="Q879" s="7" t="s">
        <v>38</v>
      </c>
      <c r="R879" s="7" t="s">
        <v>38</v>
      </c>
      <c r="S879" s="10" t="s">
        <v>1605</v>
      </c>
      <c r="T879" s="7"/>
      <c r="U879" s="7"/>
      <c r="V879" s="7"/>
      <c r="W879" s="7"/>
      <c r="X879" s="7">
        <v>3</v>
      </c>
      <c r="Y879" s="7"/>
      <c r="Z879" s="7"/>
      <c r="AA879" s="7"/>
      <c r="AB879" s="7">
        <f t="shared" si="65"/>
        <v>1</v>
      </c>
      <c r="AC879" s="7">
        <f t="shared" si="63"/>
        <v>1</v>
      </c>
      <c r="AD879" s="7"/>
      <c r="AE879" s="7">
        <v>1</v>
      </c>
      <c r="AF879" s="7" t="s">
        <v>40</v>
      </c>
      <c r="AG879" s="7"/>
      <c r="AH879" s="7"/>
      <c r="AI879" s="7"/>
      <c r="AJ879" s="7"/>
      <c r="AK879" s="7"/>
      <c r="AL879" s="9"/>
      <c r="AM879" s="7" t="s">
        <v>71</v>
      </c>
      <c r="AN879" s="7" t="s">
        <v>71</v>
      </c>
      <c r="AO879" s="12"/>
    </row>
    <row r="880" spans="1:41" s="11" customFormat="1" x14ac:dyDescent="0.25">
      <c r="A880" s="2">
        <v>879</v>
      </c>
      <c r="B880" s="7" t="s">
        <v>755</v>
      </c>
      <c r="C880" s="7" t="s">
        <v>104</v>
      </c>
      <c r="D880" s="7">
        <v>6</v>
      </c>
      <c r="E880" s="7">
        <v>6</v>
      </c>
      <c r="F880" s="8">
        <v>1</v>
      </c>
      <c r="G880" s="8">
        <v>1</v>
      </c>
      <c r="H880" s="7">
        <v>1</v>
      </c>
      <c r="I880" s="7">
        <v>1</v>
      </c>
      <c r="J880" s="9" t="s">
        <v>35</v>
      </c>
      <c r="K880" s="7">
        <v>2</v>
      </c>
      <c r="L880" s="7" t="s">
        <v>52</v>
      </c>
      <c r="M880" s="7">
        <f t="shared" si="62"/>
        <v>1</v>
      </c>
      <c r="N880" s="9" t="s">
        <v>34</v>
      </c>
      <c r="O880" s="7">
        <v>3</v>
      </c>
      <c r="P880" s="9" t="s">
        <v>33</v>
      </c>
      <c r="Q880" s="7" t="s">
        <v>38</v>
      </c>
      <c r="R880" s="7" t="s">
        <v>38</v>
      </c>
      <c r="S880" s="7" t="s">
        <v>307</v>
      </c>
      <c r="T880" s="7"/>
      <c r="U880" s="7"/>
      <c r="V880" s="7"/>
      <c r="W880" s="7"/>
      <c r="X880" s="7">
        <v>3</v>
      </c>
      <c r="Y880" s="7"/>
      <c r="Z880" s="7"/>
      <c r="AA880" s="7"/>
      <c r="AB880" s="7">
        <f t="shared" si="65"/>
        <v>1</v>
      </c>
      <c r="AC880" s="7">
        <f t="shared" si="63"/>
        <v>1</v>
      </c>
      <c r="AD880" s="7"/>
      <c r="AE880" s="7">
        <v>1</v>
      </c>
      <c r="AF880" s="7" t="s">
        <v>40</v>
      </c>
      <c r="AG880" s="7"/>
      <c r="AH880" s="7"/>
      <c r="AI880" s="7"/>
      <c r="AJ880" s="7"/>
      <c r="AK880" s="7"/>
      <c r="AL880" s="9"/>
      <c r="AM880" s="7" t="s">
        <v>71</v>
      </c>
      <c r="AN880" s="7" t="s">
        <v>71</v>
      </c>
      <c r="AO880" s="12"/>
    </row>
    <row r="881" spans="1:41" s="11" customFormat="1" x14ac:dyDescent="0.25">
      <c r="A881" s="2">
        <v>880</v>
      </c>
      <c r="B881" s="7" t="s">
        <v>755</v>
      </c>
      <c r="C881" s="7" t="s">
        <v>50</v>
      </c>
      <c r="D881" s="7">
        <v>8</v>
      </c>
      <c r="E881" s="7">
        <v>8</v>
      </c>
      <c r="F881" s="8">
        <v>1</v>
      </c>
      <c r="G881" s="8">
        <v>1</v>
      </c>
      <c r="H881" s="7">
        <v>1</v>
      </c>
      <c r="I881" s="7">
        <v>1</v>
      </c>
      <c r="J881" s="9" t="s">
        <v>35</v>
      </c>
      <c r="K881" s="7">
        <v>2</v>
      </c>
      <c r="L881" s="7" t="s">
        <v>52</v>
      </c>
      <c r="M881" s="7">
        <f t="shared" si="62"/>
        <v>1</v>
      </c>
      <c r="N881" s="9" t="s">
        <v>34</v>
      </c>
      <c r="O881" s="7">
        <v>0</v>
      </c>
      <c r="P881" s="9" t="s">
        <v>33</v>
      </c>
      <c r="Q881" s="7" t="s">
        <v>38</v>
      </c>
      <c r="R881" s="7"/>
      <c r="S881" s="10" t="s">
        <v>1492</v>
      </c>
      <c r="T881" s="7"/>
      <c r="U881" s="7"/>
      <c r="V881" s="7"/>
      <c r="W881" s="7"/>
      <c r="X881" s="7"/>
      <c r="Y881" s="7">
        <v>15</v>
      </c>
      <c r="Z881" s="7">
        <v>15</v>
      </c>
      <c r="AA881" s="7" t="s">
        <v>76</v>
      </c>
      <c r="AB881" s="7">
        <f t="shared" si="65"/>
        <v>5</v>
      </c>
      <c r="AC881" s="7">
        <f t="shared" si="63"/>
        <v>5</v>
      </c>
      <c r="AD881" s="7"/>
      <c r="AE881" s="7"/>
      <c r="AF881" s="7"/>
      <c r="AG881" s="7"/>
      <c r="AH881" s="7"/>
      <c r="AI881" s="7"/>
      <c r="AJ881" s="7"/>
      <c r="AK881" s="7"/>
      <c r="AL881" s="9"/>
      <c r="AM881" s="7" t="s">
        <v>71</v>
      </c>
      <c r="AN881" s="7" t="s">
        <v>71</v>
      </c>
      <c r="AO881" s="12"/>
    </row>
    <row r="882" spans="1:41" s="11" customFormat="1" x14ac:dyDescent="0.25">
      <c r="A882" s="2">
        <v>881</v>
      </c>
      <c r="B882" s="7" t="s">
        <v>755</v>
      </c>
      <c r="C882" s="7" t="s">
        <v>50</v>
      </c>
      <c r="D882" s="7">
        <v>1</v>
      </c>
      <c r="E882" s="7">
        <v>1</v>
      </c>
      <c r="F882" s="8">
        <v>1</v>
      </c>
      <c r="G882" s="8">
        <v>1</v>
      </c>
      <c r="H882" s="7">
        <v>1</v>
      </c>
      <c r="I882" s="7">
        <v>1</v>
      </c>
      <c r="J882" s="9" t="s">
        <v>35</v>
      </c>
      <c r="K882" s="7">
        <v>2</v>
      </c>
      <c r="L882" s="7" t="s">
        <v>52</v>
      </c>
      <c r="M882" s="7">
        <f t="shared" si="62"/>
        <v>1</v>
      </c>
      <c r="N882" s="9" t="s">
        <v>36</v>
      </c>
      <c r="O882" s="7">
        <v>0</v>
      </c>
      <c r="P882" s="9" t="s">
        <v>63</v>
      </c>
      <c r="Q882" s="7"/>
      <c r="R882" s="7" t="s">
        <v>38</v>
      </c>
      <c r="S882" s="7"/>
      <c r="T882" s="7"/>
      <c r="U882" s="7"/>
      <c r="V882" s="7"/>
      <c r="W882" s="7"/>
      <c r="X882" s="7"/>
      <c r="Y882" s="7" t="s">
        <v>92</v>
      </c>
      <c r="Z882" s="7">
        <v>3</v>
      </c>
      <c r="AA882" s="7" t="s">
        <v>199</v>
      </c>
      <c r="AB882" s="7">
        <f t="shared" si="65"/>
        <v>1</v>
      </c>
      <c r="AC882" s="7">
        <f t="shared" si="63"/>
        <v>1</v>
      </c>
      <c r="AD882" s="7"/>
      <c r="AE882" s="7"/>
      <c r="AF882" s="7"/>
      <c r="AG882" s="7"/>
      <c r="AH882" s="7"/>
      <c r="AI882" s="7"/>
      <c r="AJ882" s="7"/>
      <c r="AK882" s="7"/>
      <c r="AL882" s="9"/>
      <c r="AM882" s="7" t="s">
        <v>71</v>
      </c>
      <c r="AN882" s="7" t="s">
        <v>71</v>
      </c>
      <c r="AO882" s="12"/>
    </row>
    <row r="883" spans="1:41" s="11" customFormat="1" x14ac:dyDescent="0.25">
      <c r="A883" s="2">
        <v>882</v>
      </c>
      <c r="B883" s="7" t="s">
        <v>755</v>
      </c>
      <c r="C883" s="7" t="s">
        <v>119</v>
      </c>
      <c r="D883" s="7">
        <v>6</v>
      </c>
      <c r="E883" s="7">
        <v>6</v>
      </c>
      <c r="F883" s="8">
        <v>1</v>
      </c>
      <c r="G883" s="8">
        <v>1</v>
      </c>
      <c r="H883" s="7">
        <v>1</v>
      </c>
      <c r="I883" s="7">
        <v>1</v>
      </c>
      <c r="J883" s="9" t="s">
        <v>35</v>
      </c>
      <c r="K883" s="7">
        <v>2</v>
      </c>
      <c r="L883" s="7" t="s">
        <v>52</v>
      </c>
      <c r="M883" s="7">
        <f t="shared" si="62"/>
        <v>1</v>
      </c>
      <c r="N883" s="9" t="s">
        <v>34</v>
      </c>
      <c r="O883" s="7">
        <v>0</v>
      </c>
      <c r="P883" s="9" t="s">
        <v>33</v>
      </c>
      <c r="Q883" s="7"/>
      <c r="R883" s="7" t="s">
        <v>38</v>
      </c>
      <c r="S883" s="10" t="s">
        <v>1964</v>
      </c>
      <c r="T883" s="7"/>
      <c r="U883" s="7"/>
      <c r="V883" s="7"/>
      <c r="W883" s="7"/>
      <c r="X883" s="7"/>
      <c r="Y883" s="7"/>
      <c r="Z883" s="7"/>
      <c r="AA883" s="7"/>
      <c r="AB883" s="7">
        <v>0.33333333333333298</v>
      </c>
      <c r="AC883" s="7">
        <f t="shared" si="63"/>
        <v>0.33333333333333298</v>
      </c>
      <c r="AD883" s="7">
        <v>1</v>
      </c>
      <c r="AE883" s="7"/>
      <c r="AF883" s="7" t="s">
        <v>40</v>
      </c>
      <c r="AG883" s="7" t="s">
        <v>742</v>
      </c>
      <c r="AH883" s="7"/>
      <c r="AI883" s="7"/>
      <c r="AJ883" s="7"/>
      <c r="AK883" s="7"/>
      <c r="AL883" s="9"/>
      <c r="AM883" s="7" t="s">
        <v>71</v>
      </c>
      <c r="AN883" s="7" t="s">
        <v>71</v>
      </c>
      <c r="AO883" s="12"/>
    </row>
    <row r="884" spans="1:41" s="11" customFormat="1" x14ac:dyDescent="0.25">
      <c r="A884" s="2">
        <v>883</v>
      </c>
      <c r="B884" s="7" t="s">
        <v>755</v>
      </c>
      <c r="C884" s="7" t="s">
        <v>89</v>
      </c>
      <c r="D884" s="7" t="s">
        <v>760</v>
      </c>
      <c r="E884" s="7">
        <v>19</v>
      </c>
      <c r="F884" s="8">
        <v>4</v>
      </c>
      <c r="G884" s="8">
        <v>4</v>
      </c>
      <c r="H884" s="7" t="s">
        <v>91</v>
      </c>
      <c r="I884" s="7">
        <v>4</v>
      </c>
      <c r="J884" s="9" t="s">
        <v>35</v>
      </c>
      <c r="K884" s="7">
        <v>1</v>
      </c>
      <c r="L884" s="7" t="s">
        <v>52</v>
      </c>
      <c r="M884" s="7">
        <f t="shared" si="62"/>
        <v>4</v>
      </c>
      <c r="N884" s="9"/>
      <c r="O884" s="7"/>
      <c r="P884" s="9"/>
      <c r="Q884" s="7"/>
      <c r="R884" s="7"/>
      <c r="S884" s="7"/>
      <c r="T884" s="7"/>
      <c r="U884" s="7"/>
      <c r="V884" s="7"/>
      <c r="W884" s="7"/>
      <c r="X884" s="7">
        <v>3</v>
      </c>
      <c r="Y884" s="7"/>
      <c r="Z884" s="7"/>
      <c r="AA884" s="7"/>
      <c r="AB884" s="7">
        <f t="shared" ref="AB884:AB901" si="66">(U884+X884+Z884)/3</f>
        <v>1</v>
      </c>
      <c r="AC884" s="7">
        <f t="shared" si="63"/>
        <v>1</v>
      </c>
      <c r="AD884" s="7"/>
      <c r="AE884" s="7"/>
      <c r="AF884" s="7"/>
      <c r="AG884" s="7"/>
      <c r="AH884" s="7"/>
      <c r="AI884" s="7"/>
      <c r="AJ884" s="7"/>
      <c r="AK884" s="7"/>
      <c r="AL884" s="9"/>
      <c r="AM884" s="7" t="s">
        <v>71</v>
      </c>
      <c r="AN884" s="7" t="s">
        <v>71</v>
      </c>
      <c r="AO884" s="12"/>
    </row>
    <row r="885" spans="1:41" s="11" customFormat="1" x14ac:dyDescent="0.25">
      <c r="A885" s="2">
        <v>884</v>
      </c>
      <c r="B885" s="7" t="s">
        <v>755</v>
      </c>
      <c r="C885" s="7" t="s">
        <v>89</v>
      </c>
      <c r="D885" s="7" t="s">
        <v>761</v>
      </c>
      <c r="E885" s="7">
        <f>9+11+8+7+4</f>
        <v>39</v>
      </c>
      <c r="F885" s="8">
        <v>10</v>
      </c>
      <c r="G885" s="8">
        <v>12</v>
      </c>
      <c r="H885" s="7" t="s">
        <v>262</v>
      </c>
      <c r="I885" s="7">
        <v>12</v>
      </c>
      <c r="J885" s="9" t="s">
        <v>35</v>
      </c>
      <c r="K885" s="7">
        <v>2</v>
      </c>
      <c r="L885" s="7" t="s">
        <v>52</v>
      </c>
      <c r="M885" s="7">
        <f t="shared" si="62"/>
        <v>10</v>
      </c>
      <c r="N885" s="9"/>
      <c r="O885" s="7"/>
      <c r="P885" s="9"/>
      <c r="Q885" s="7"/>
      <c r="R885" s="7"/>
      <c r="S885" s="7"/>
      <c r="T885" s="7"/>
      <c r="U885" s="7"/>
      <c r="V885" s="7"/>
      <c r="W885" s="7"/>
      <c r="X885" s="7">
        <v>3</v>
      </c>
      <c r="Y885" s="7"/>
      <c r="Z885" s="7"/>
      <c r="AA885" s="7"/>
      <c r="AB885" s="7">
        <f t="shared" si="66"/>
        <v>1</v>
      </c>
      <c r="AC885" s="7">
        <f t="shared" si="63"/>
        <v>1</v>
      </c>
      <c r="AD885" s="7"/>
      <c r="AE885" s="7"/>
      <c r="AF885" s="7"/>
      <c r="AG885" s="7"/>
      <c r="AH885" s="7"/>
      <c r="AI885" s="7"/>
      <c r="AJ885" s="7"/>
      <c r="AK885" s="7"/>
      <c r="AL885" s="9"/>
      <c r="AM885" s="7" t="s">
        <v>71</v>
      </c>
      <c r="AN885" s="7" t="s">
        <v>71</v>
      </c>
      <c r="AO885" s="12"/>
    </row>
    <row r="886" spans="1:41" s="11" customFormat="1" ht="24" x14ac:dyDescent="0.25">
      <c r="A886" s="2">
        <v>885</v>
      </c>
      <c r="B886" s="7" t="s">
        <v>755</v>
      </c>
      <c r="C886" s="7" t="s">
        <v>762</v>
      </c>
      <c r="D886" s="7" t="s">
        <v>763</v>
      </c>
      <c r="E886" s="7">
        <v>21</v>
      </c>
      <c r="F886" s="8">
        <v>1</v>
      </c>
      <c r="G886" s="8">
        <v>3</v>
      </c>
      <c r="H886" s="7" t="s">
        <v>293</v>
      </c>
      <c r="I886" s="7">
        <v>3</v>
      </c>
      <c r="J886" s="9" t="s">
        <v>35</v>
      </c>
      <c r="K886" s="7">
        <v>2</v>
      </c>
      <c r="L886" s="7" t="s">
        <v>52</v>
      </c>
      <c r="M886" s="7">
        <f t="shared" si="62"/>
        <v>1</v>
      </c>
      <c r="N886" s="9" t="s">
        <v>37</v>
      </c>
      <c r="O886" s="7">
        <v>2</v>
      </c>
      <c r="P886" s="9" t="s">
        <v>33</v>
      </c>
      <c r="Q886" s="7" t="s">
        <v>52</v>
      </c>
      <c r="R886" s="7" t="s">
        <v>38</v>
      </c>
      <c r="S886" s="7"/>
      <c r="T886" s="7"/>
      <c r="U886" s="7"/>
      <c r="V886" s="7"/>
      <c r="W886" s="7"/>
      <c r="X886" s="7">
        <v>3</v>
      </c>
      <c r="Y886" s="7"/>
      <c r="Z886" s="7"/>
      <c r="AA886" s="7"/>
      <c r="AB886" s="7">
        <f t="shared" si="66"/>
        <v>1</v>
      </c>
      <c r="AC886" s="7">
        <f t="shared" si="63"/>
        <v>1</v>
      </c>
      <c r="AD886" s="7">
        <v>1</v>
      </c>
      <c r="AE886" s="7"/>
      <c r="AF886" s="7" t="s">
        <v>308</v>
      </c>
      <c r="AG886" s="7"/>
      <c r="AH886" s="7"/>
      <c r="AI886" s="7"/>
      <c r="AJ886" s="10" t="s">
        <v>2370</v>
      </c>
      <c r="AK886" s="7"/>
      <c r="AL886" s="9"/>
      <c r="AM886" s="7" t="s">
        <v>67</v>
      </c>
      <c r="AN886" s="7" t="s">
        <v>2847</v>
      </c>
      <c r="AO886" s="12"/>
    </row>
    <row r="887" spans="1:41" s="11" customFormat="1" x14ac:dyDescent="0.25">
      <c r="A887" s="2">
        <v>886</v>
      </c>
      <c r="B887" s="7" t="s">
        <v>755</v>
      </c>
      <c r="C887" s="7" t="s">
        <v>89</v>
      </c>
      <c r="D887" s="7" t="s">
        <v>764</v>
      </c>
      <c r="E887" s="7">
        <v>23</v>
      </c>
      <c r="F887" s="8">
        <v>3</v>
      </c>
      <c r="G887" s="8">
        <v>4</v>
      </c>
      <c r="H887" s="7" t="s">
        <v>143</v>
      </c>
      <c r="I887" s="7">
        <v>4</v>
      </c>
      <c r="J887" s="9" t="s">
        <v>35</v>
      </c>
      <c r="K887" s="7">
        <v>2</v>
      </c>
      <c r="L887" s="7" t="s">
        <v>52</v>
      </c>
      <c r="M887" s="7">
        <f t="shared" si="62"/>
        <v>3</v>
      </c>
      <c r="N887" s="9"/>
      <c r="O887" s="7"/>
      <c r="P887" s="9"/>
      <c r="Q887" s="7" t="s">
        <v>52</v>
      </c>
      <c r="R887" s="7" t="s">
        <v>38</v>
      </c>
      <c r="S887" s="7"/>
      <c r="T887" s="7"/>
      <c r="U887" s="7"/>
      <c r="V887" s="7"/>
      <c r="W887" s="7"/>
      <c r="X887" s="7">
        <v>3</v>
      </c>
      <c r="Y887" s="7"/>
      <c r="Z887" s="7"/>
      <c r="AA887" s="7"/>
      <c r="AB887" s="7">
        <f t="shared" si="66"/>
        <v>1</v>
      </c>
      <c r="AC887" s="7">
        <f t="shared" si="63"/>
        <v>1</v>
      </c>
      <c r="AD887" s="7"/>
      <c r="AE887" s="7"/>
      <c r="AF887" s="7"/>
      <c r="AG887" s="7"/>
      <c r="AH887" s="7"/>
      <c r="AI887" s="7"/>
      <c r="AJ887" s="10" t="s">
        <v>2370</v>
      </c>
      <c r="AK887" s="7"/>
      <c r="AL887" s="9"/>
      <c r="AM887" s="7" t="s">
        <v>71</v>
      </c>
      <c r="AN887" s="7" t="s">
        <v>71</v>
      </c>
      <c r="AO887" s="12"/>
    </row>
    <row r="888" spans="1:41" s="11" customFormat="1" x14ac:dyDescent="0.25">
      <c r="A888" s="2">
        <v>887</v>
      </c>
      <c r="B888" s="7" t="s">
        <v>755</v>
      </c>
      <c r="C888" s="7" t="s">
        <v>104</v>
      </c>
      <c r="D888" s="7" t="s">
        <v>765</v>
      </c>
      <c r="E888" s="7">
        <v>81</v>
      </c>
      <c r="F888" s="8">
        <v>1</v>
      </c>
      <c r="G888" s="8">
        <v>2</v>
      </c>
      <c r="H888" s="7">
        <v>2</v>
      </c>
      <c r="I888" s="7">
        <v>2</v>
      </c>
      <c r="J888" s="9" t="s">
        <v>219</v>
      </c>
      <c r="K888" s="7">
        <v>13</v>
      </c>
      <c r="L888" s="7" t="s">
        <v>52</v>
      </c>
      <c r="M888" s="7">
        <f t="shared" si="62"/>
        <v>1</v>
      </c>
      <c r="N888" s="9" t="s">
        <v>82</v>
      </c>
      <c r="O888" s="7">
        <v>0</v>
      </c>
      <c r="P888" s="9" t="s">
        <v>36</v>
      </c>
      <c r="Q888" s="7" t="s">
        <v>38</v>
      </c>
      <c r="R888" s="7" t="s">
        <v>38</v>
      </c>
      <c r="S888" s="10" t="s">
        <v>1945</v>
      </c>
      <c r="T888" s="7"/>
      <c r="U888" s="7"/>
      <c r="V888" s="7"/>
      <c r="W888" s="7"/>
      <c r="X888" s="7">
        <v>3</v>
      </c>
      <c r="Y888" s="7"/>
      <c r="Z888" s="7"/>
      <c r="AA888" s="7"/>
      <c r="AB888" s="7">
        <f t="shared" si="66"/>
        <v>1</v>
      </c>
      <c r="AC888" s="7">
        <f t="shared" si="63"/>
        <v>1</v>
      </c>
      <c r="AD888" s="7"/>
      <c r="AE888" s="7">
        <v>1</v>
      </c>
      <c r="AF888" s="7" t="s">
        <v>155</v>
      </c>
      <c r="AG888" s="7" t="s">
        <v>766</v>
      </c>
      <c r="AH888" s="7"/>
      <c r="AI888" s="7"/>
      <c r="AJ888" s="7"/>
      <c r="AK888" s="7"/>
      <c r="AL888" s="9"/>
      <c r="AM888" s="7" t="s">
        <v>71</v>
      </c>
      <c r="AN888" s="7" t="s">
        <v>71</v>
      </c>
      <c r="AO888" s="12"/>
    </row>
    <row r="889" spans="1:41" s="11" customFormat="1" x14ac:dyDescent="0.25">
      <c r="A889" s="2">
        <v>888</v>
      </c>
      <c r="B889" s="7" t="s">
        <v>755</v>
      </c>
      <c r="C889" s="7" t="s">
        <v>89</v>
      </c>
      <c r="D889" s="7" t="s">
        <v>767</v>
      </c>
      <c r="E889" s="7">
        <f>40+28+12+11+10+12+5+16+3+4</f>
        <v>141</v>
      </c>
      <c r="F889" s="8">
        <v>7</v>
      </c>
      <c r="G889" s="8">
        <v>17</v>
      </c>
      <c r="H889" s="7" t="s">
        <v>768</v>
      </c>
      <c r="I889" s="7">
        <v>17</v>
      </c>
      <c r="J889" s="9" t="s">
        <v>219</v>
      </c>
      <c r="K889" s="7">
        <v>13</v>
      </c>
      <c r="L889" s="7" t="s">
        <v>52</v>
      </c>
      <c r="M889" s="7">
        <f t="shared" si="62"/>
        <v>7</v>
      </c>
      <c r="N889" s="9"/>
      <c r="O889" s="7"/>
      <c r="P889" s="9"/>
      <c r="Q889" s="7"/>
      <c r="R889" s="7"/>
      <c r="S889" s="7"/>
      <c r="T889" s="7"/>
      <c r="U889" s="7"/>
      <c r="V889" s="7"/>
      <c r="W889" s="7"/>
      <c r="X889" s="7">
        <v>3</v>
      </c>
      <c r="Y889" s="7"/>
      <c r="Z889" s="7"/>
      <c r="AA889" s="7"/>
      <c r="AB889" s="7">
        <f t="shared" si="66"/>
        <v>1</v>
      </c>
      <c r="AC889" s="7">
        <f t="shared" si="63"/>
        <v>1</v>
      </c>
      <c r="AD889" s="7"/>
      <c r="AE889" s="7"/>
      <c r="AF889" s="7"/>
      <c r="AG889" s="7"/>
      <c r="AH889" s="7"/>
      <c r="AI889" s="7"/>
      <c r="AJ889" s="7"/>
      <c r="AK889" s="7"/>
      <c r="AL889" s="9"/>
      <c r="AM889" s="7" t="s">
        <v>71</v>
      </c>
      <c r="AN889" s="7" t="s">
        <v>71</v>
      </c>
      <c r="AO889" s="12"/>
    </row>
    <row r="890" spans="1:41" s="11" customFormat="1" x14ac:dyDescent="0.25">
      <c r="A890" s="2">
        <v>889</v>
      </c>
      <c r="B890" s="7" t="s">
        <v>755</v>
      </c>
      <c r="C890" s="7" t="s">
        <v>100</v>
      </c>
      <c r="D890" s="7">
        <v>7</v>
      </c>
      <c r="E890" s="7">
        <v>7</v>
      </c>
      <c r="F890" s="8">
        <v>1</v>
      </c>
      <c r="G890" s="8">
        <v>1</v>
      </c>
      <c r="H890" s="7">
        <v>1</v>
      </c>
      <c r="I890" s="7">
        <v>1</v>
      </c>
      <c r="J890" s="9" t="s">
        <v>219</v>
      </c>
      <c r="K890" s="7">
        <v>6</v>
      </c>
      <c r="L890" s="7" t="s">
        <v>52</v>
      </c>
      <c r="M890" s="7">
        <f t="shared" si="62"/>
        <v>1</v>
      </c>
      <c r="N890" s="9"/>
      <c r="O890" s="7"/>
      <c r="P890" s="9"/>
      <c r="Q890" s="7"/>
      <c r="R890" s="7"/>
      <c r="S890" s="7"/>
      <c r="T890" s="7"/>
      <c r="U890" s="7"/>
      <c r="V890" s="7"/>
      <c r="W890" s="7"/>
      <c r="X890" s="7">
        <v>3</v>
      </c>
      <c r="Y890" s="7"/>
      <c r="Z890" s="7"/>
      <c r="AA890" s="7"/>
      <c r="AB890" s="7">
        <f t="shared" si="66"/>
        <v>1</v>
      </c>
      <c r="AC890" s="7">
        <f t="shared" si="63"/>
        <v>1</v>
      </c>
      <c r="AD890" s="7"/>
      <c r="AE890" s="7"/>
      <c r="AF890" s="7"/>
      <c r="AG890" s="7"/>
      <c r="AH890" s="7"/>
      <c r="AI890" s="7"/>
      <c r="AJ890" s="7"/>
      <c r="AK890" s="7"/>
      <c r="AL890" s="9"/>
      <c r="AM890" s="7" t="s">
        <v>71</v>
      </c>
      <c r="AN890" s="7" t="s">
        <v>71</v>
      </c>
      <c r="AO890" s="12"/>
    </row>
    <row r="891" spans="1:41" s="11" customFormat="1" x14ac:dyDescent="0.25">
      <c r="A891" s="2">
        <v>890</v>
      </c>
      <c r="B891" s="7" t="s">
        <v>755</v>
      </c>
      <c r="C891" s="7" t="s">
        <v>769</v>
      </c>
      <c r="D891" s="7">
        <v>14</v>
      </c>
      <c r="E891" s="7">
        <v>14</v>
      </c>
      <c r="F891" s="8">
        <v>1</v>
      </c>
      <c r="G891" s="8">
        <v>1</v>
      </c>
      <c r="H891" s="7">
        <v>1</v>
      </c>
      <c r="I891" s="7">
        <v>1</v>
      </c>
      <c r="J891" s="9" t="s">
        <v>219</v>
      </c>
      <c r="K891" s="7">
        <v>1</v>
      </c>
      <c r="L891" s="7" t="s">
        <v>52</v>
      </c>
      <c r="M891" s="7">
        <f t="shared" si="62"/>
        <v>1</v>
      </c>
      <c r="N891" s="9" t="s">
        <v>82</v>
      </c>
      <c r="O891" s="7">
        <v>0</v>
      </c>
      <c r="P891" s="9" t="s">
        <v>36</v>
      </c>
      <c r="Q891" s="7" t="s">
        <v>38</v>
      </c>
      <c r="R891" s="7" t="s">
        <v>38</v>
      </c>
      <c r="S891" s="10" t="s">
        <v>1762</v>
      </c>
      <c r="T891" s="7"/>
      <c r="U891" s="7"/>
      <c r="V891" s="7"/>
      <c r="W891" s="7"/>
      <c r="X891" s="7"/>
      <c r="Y891" s="7" t="s">
        <v>92</v>
      </c>
      <c r="Z891" s="7">
        <v>3</v>
      </c>
      <c r="AA891" s="7" t="s">
        <v>199</v>
      </c>
      <c r="AB891" s="7">
        <f t="shared" si="66"/>
        <v>1</v>
      </c>
      <c r="AC891" s="7">
        <f t="shared" si="63"/>
        <v>1</v>
      </c>
      <c r="AD891" s="7"/>
      <c r="AE891" s="7"/>
      <c r="AF891" s="7"/>
      <c r="AG891" s="7"/>
      <c r="AH891" s="7"/>
      <c r="AI891" s="7"/>
      <c r="AJ891" s="7"/>
      <c r="AK891" s="7"/>
      <c r="AL891" s="9"/>
      <c r="AM891" s="7" t="s">
        <v>71</v>
      </c>
      <c r="AN891" s="7" t="s">
        <v>71</v>
      </c>
      <c r="AO891" s="12"/>
    </row>
    <row r="892" spans="1:41" s="11" customFormat="1" x14ac:dyDescent="0.25">
      <c r="A892" s="2">
        <v>891</v>
      </c>
      <c r="B892" s="7" t="s">
        <v>755</v>
      </c>
      <c r="C892" s="7" t="s">
        <v>89</v>
      </c>
      <c r="D892" s="7">
        <v>27</v>
      </c>
      <c r="E892" s="7">
        <v>27</v>
      </c>
      <c r="F892" s="8">
        <v>1</v>
      </c>
      <c r="G892" s="8">
        <v>2</v>
      </c>
      <c r="H892" s="7">
        <v>2</v>
      </c>
      <c r="I892" s="7">
        <v>2</v>
      </c>
      <c r="J892" s="9" t="s">
        <v>219</v>
      </c>
      <c r="K892" s="7">
        <v>1</v>
      </c>
      <c r="L892" s="7" t="s">
        <v>52</v>
      </c>
      <c r="M892" s="7">
        <f t="shared" si="62"/>
        <v>1</v>
      </c>
      <c r="N892" s="9"/>
      <c r="O892" s="7"/>
      <c r="P892" s="9"/>
      <c r="Q892" s="7"/>
      <c r="R892" s="7"/>
      <c r="S892" s="7"/>
      <c r="T892" s="7"/>
      <c r="U892" s="7"/>
      <c r="V892" s="7"/>
      <c r="W892" s="7"/>
      <c r="X892" s="7">
        <v>3</v>
      </c>
      <c r="Y892" s="7"/>
      <c r="Z892" s="7"/>
      <c r="AA892" s="7"/>
      <c r="AB892" s="7">
        <f t="shared" si="66"/>
        <v>1</v>
      </c>
      <c r="AC892" s="7">
        <f t="shared" si="63"/>
        <v>1</v>
      </c>
      <c r="AD892" s="7"/>
      <c r="AE892" s="7"/>
      <c r="AF892" s="7"/>
      <c r="AG892" s="7"/>
      <c r="AH892" s="7"/>
      <c r="AI892" s="7"/>
      <c r="AJ892" s="7"/>
      <c r="AK892" s="7"/>
      <c r="AL892" s="9"/>
      <c r="AM892" s="7" t="s">
        <v>71</v>
      </c>
      <c r="AN892" s="7" t="s">
        <v>71</v>
      </c>
      <c r="AO892" s="12"/>
    </row>
    <row r="893" spans="1:41" s="11" customFormat="1" x14ac:dyDescent="0.25">
      <c r="A893" s="2">
        <v>892</v>
      </c>
      <c r="B893" s="7" t="s">
        <v>755</v>
      </c>
      <c r="C893" s="7" t="s">
        <v>78</v>
      </c>
      <c r="D893" s="7" t="s">
        <v>770</v>
      </c>
      <c r="E893" s="7">
        <v>21</v>
      </c>
      <c r="F893" s="8">
        <v>1</v>
      </c>
      <c r="G893" s="9" t="s">
        <v>196</v>
      </c>
      <c r="H893" s="7">
        <v>2</v>
      </c>
      <c r="I893" s="7">
        <v>2</v>
      </c>
      <c r="J893" s="9" t="s">
        <v>219</v>
      </c>
      <c r="K893" s="7" t="s">
        <v>771</v>
      </c>
      <c r="L893" s="7" t="s">
        <v>52</v>
      </c>
      <c r="M893" s="7">
        <f t="shared" si="62"/>
        <v>1</v>
      </c>
      <c r="N893" s="9" t="s">
        <v>33</v>
      </c>
      <c r="O893" s="7">
        <v>0</v>
      </c>
      <c r="P893" s="9" t="s">
        <v>63</v>
      </c>
      <c r="Q893" s="7" t="s">
        <v>38</v>
      </c>
      <c r="R893" s="7" t="s">
        <v>52</v>
      </c>
      <c r="S893" s="10" t="s">
        <v>1965</v>
      </c>
      <c r="T893" s="7">
        <v>7</v>
      </c>
      <c r="U893" s="7">
        <v>7</v>
      </c>
      <c r="V893" s="7">
        <v>240</v>
      </c>
      <c r="W893" s="7" t="s">
        <v>772</v>
      </c>
      <c r="X893" s="7"/>
      <c r="Y893" s="7"/>
      <c r="Z893" s="7"/>
      <c r="AA893" s="7"/>
      <c r="AB893" s="7">
        <f t="shared" si="66"/>
        <v>2.3333333333333335</v>
      </c>
      <c r="AC893" s="7">
        <f t="shared" si="63"/>
        <v>2.3333333333333335</v>
      </c>
      <c r="AD893" s="7"/>
      <c r="AE893" s="7"/>
      <c r="AF893" s="7"/>
      <c r="AG893" s="7"/>
      <c r="AH893" s="7"/>
      <c r="AI893" s="7"/>
      <c r="AJ893" s="7"/>
      <c r="AK893" s="7"/>
      <c r="AL893" s="9"/>
      <c r="AM893" s="7" t="s">
        <v>773</v>
      </c>
      <c r="AN893" s="7" t="s">
        <v>71</v>
      </c>
      <c r="AO893" s="15" t="s">
        <v>2586</v>
      </c>
    </row>
    <row r="894" spans="1:41" s="11" customFormat="1" ht="24" x14ac:dyDescent="0.25">
      <c r="A894" s="2">
        <v>893</v>
      </c>
      <c r="B894" s="7" t="s">
        <v>755</v>
      </c>
      <c r="C894" s="7" t="s">
        <v>269</v>
      </c>
      <c r="D894" s="7" t="s">
        <v>774</v>
      </c>
      <c r="E894" s="7">
        <v>17</v>
      </c>
      <c r="F894" s="8">
        <v>1</v>
      </c>
      <c r="G894" s="8">
        <v>3</v>
      </c>
      <c r="H894" s="7">
        <v>3</v>
      </c>
      <c r="I894" s="7">
        <v>3</v>
      </c>
      <c r="J894" s="9" t="s">
        <v>775</v>
      </c>
      <c r="K894" s="7" t="s">
        <v>776</v>
      </c>
      <c r="L894" s="7" t="s">
        <v>52</v>
      </c>
      <c r="M894" s="7">
        <f t="shared" si="62"/>
        <v>1</v>
      </c>
      <c r="N894" s="9" t="s">
        <v>777</v>
      </c>
      <c r="O894" s="7">
        <v>0</v>
      </c>
      <c r="P894" s="9" t="s">
        <v>63</v>
      </c>
      <c r="Q894" s="7" t="s">
        <v>38</v>
      </c>
      <c r="R894" s="7" t="s">
        <v>38</v>
      </c>
      <c r="S894" s="10" t="s">
        <v>1966</v>
      </c>
      <c r="T894" s="7">
        <v>70</v>
      </c>
      <c r="U894" s="7">
        <v>70</v>
      </c>
      <c r="V894" s="7">
        <v>45</v>
      </c>
      <c r="W894" s="7" t="s">
        <v>79</v>
      </c>
      <c r="X894" s="7">
        <v>15</v>
      </c>
      <c r="Y894" s="7"/>
      <c r="Z894" s="7"/>
      <c r="AA894" s="7"/>
      <c r="AB894" s="7">
        <f t="shared" si="66"/>
        <v>28.333333333333332</v>
      </c>
      <c r="AC894" s="7">
        <f t="shared" si="63"/>
        <v>28.333333333333332</v>
      </c>
      <c r="AD894" s="7"/>
      <c r="AE894" s="7"/>
      <c r="AF894" s="7"/>
      <c r="AG894" s="7"/>
      <c r="AH894" s="7"/>
      <c r="AI894" s="7"/>
      <c r="AJ894" s="10" t="s">
        <v>778</v>
      </c>
      <c r="AK894" s="7"/>
      <c r="AL894" s="9"/>
      <c r="AM894" s="7" t="s">
        <v>582</v>
      </c>
      <c r="AN894" s="7" t="s">
        <v>2851</v>
      </c>
      <c r="AO894" s="12"/>
    </row>
    <row r="895" spans="1:41" s="11" customFormat="1" x14ac:dyDescent="0.25">
      <c r="A895" s="2">
        <v>894</v>
      </c>
      <c r="B895" s="7" t="s">
        <v>755</v>
      </c>
      <c r="C895" s="7" t="s">
        <v>89</v>
      </c>
      <c r="D895" s="7" t="s">
        <v>779</v>
      </c>
      <c r="E895" s="7">
        <v>17</v>
      </c>
      <c r="F895" s="8">
        <v>4</v>
      </c>
      <c r="G895" s="8">
        <v>5</v>
      </c>
      <c r="H895" s="7" t="s">
        <v>345</v>
      </c>
      <c r="I895" s="7">
        <v>5</v>
      </c>
      <c r="J895" s="9" t="s">
        <v>176</v>
      </c>
      <c r="K895" s="7">
        <v>1</v>
      </c>
      <c r="L895" s="7" t="s">
        <v>52</v>
      </c>
      <c r="M895" s="7">
        <f t="shared" si="62"/>
        <v>4</v>
      </c>
      <c r="N895" s="9"/>
      <c r="O895" s="7"/>
      <c r="P895" s="9"/>
      <c r="Q895" s="7"/>
      <c r="R895" s="7"/>
      <c r="S895" s="7"/>
      <c r="T895" s="7"/>
      <c r="U895" s="7"/>
      <c r="V895" s="7"/>
      <c r="W895" s="7"/>
      <c r="X895" s="7">
        <v>3</v>
      </c>
      <c r="Y895" s="7"/>
      <c r="Z895" s="7"/>
      <c r="AA895" s="7"/>
      <c r="AB895" s="7">
        <f t="shared" si="66"/>
        <v>1</v>
      </c>
      <c r="AC895" s="7">
        <f t="shared" si="63"/>
        <v>1</v>
      </c>
      <c r="AD895" s="7"/>
      <c r="AE895" s="7"/>
      <c r="AF895" s="7"/>
      <c r="AG895" s="7"/>
      <c r="AH895" s="7"/>
      <c r="AI895" s="7"/>
      <c r="AJ895" s="7"/>
      <c r="AK895" s="7"/>
      <c r="AL895" s="9"/>
      <c r="AM895" s="7" t="s">
        <v>71</v>
      </c>
      <c r="AN895" s="7" t="s">
        <v>71</v>
      </c>
      <c r="AO895" s="12"/>
    </row>
    <row r="896" spans="1:41" s="11" customFormat="1" ht="36" x14ac:dyDescent="0.25">
      <c r="A896" s="2">
        <v>895</v>
      </c>
      <c r="B896" s="7" t="s">
        <v>755</v>
      </c>
      <c r="C896" s="7" t="s">
        <v>421</v>
      </c>
      <c r="D896" s="7" t="s">
        <v>780</v>
      </c>
      <c r="E896" s="7">
        <f>36+4+2</f>
        <v>42</v>
      </c>
      <c r="F896" s="8">
        <v>1</v>
      </c>
      <c r="G896" s="8">
        <v>8</v>
      </c>
      <c r="H896" s="7" t="s">
        <v>781</v>
      </c>
      <c r="I896" s="7">
        <v>8</v>
      </c>
      <c r="J896" s="9" t="s">
        <v>176</v>
      </c>
      <c r="K896" s="7">
        <v>3</v>
      </c>
      <c r="L896" s="7" t="s">
        <v>52</v>
      </c>
      <c r="M896" s="7">
        <f t="shared" si="62"/>
        <v>1</v>
      </c>
      <c r="N896" s="9" t="s">
        <v>109</v>
      </c>
      <c r="O896" s="7">
        <v>0</v>
      </c>
      <c r="P896" s="9" t="s">
        <v>63</v>
      </c>
      <c r="Q896" s="7" t="s">
        <v>38</v>
      </c>
      <c r="R896" s="7" t="s">
        <v>38</v>
      </c>
      <c r="S896" s="10" t="s">
        <v>1967</v>
      </c>
      <c r="T896" s="7" t="s">
        <v>782</v>
      </c>
      <c r="U896" s="7">
        <v>45</v>
      </c>
      <c r="V896" s="7">
        <v>55</v>
      </c>
      <c r="W896" s="7" t="s">
        <v>79</v>
      </c>
      <c r="X896" s="7">
        <v>15</v>
      </c>
      <c r="Y896" s="7">
        <v>60</v>
      </c>
      <c r="Z896" s="7">
        <v>60</v>
      </c>
      <c r="AA896" s="7">
        <v>40</v>
      </c>
      <c r="AB896" s="7">
        <f t="shared" si="66"/>
        <v>40</v>
      </c>
      <c r="AC896" s="7">
        <f t="shared" si="63"/>
        <v>40</v>
      </c>
      <c r="AD896" s="7"/>
      <c r="AE896" s="7"/>
      <c r="AF896" s="7"/>
      <c r="AG896" s="7"/>
      <c r="AH896" s="7"/>
      <c r="AI896" s="7"/>
      <c r="AJ896" s="10" t="s">
        <v>2371</v>
      </c>
      <c r="AK896" s="7"/>
      <c r="AL896" s="9" t="s">
        <v>38</v>
      </c>
      <c r="AM896" s="7" t="s">
        <v>582</v>
      </c>
      <c r="AN896" s="7" t="s">
        <v>2851</v>
      </c>
      <c r="AO896" s="12"/>
    </row>
    <row r="897" spans="1:41" s="11" customFormat="1" ht="24" x14ac:dyDescent="0.25">
      <c r="A897" s="2">
        <v>896</v>
      </c>
      <c r="B897" s="7" t="s">
        <v>783</v>
      </c>
      <c r="C897" s="7" t="s">
        <v>784</v>
      </c>
      <c r="D897" s="7" t="s">
        <v>785</v>
      </c>
      <c r="E897" s="7">
        <f>44+12</f>
        <v>56</v>
      </c>
      <c r="F897" s="8">
        <v>1</v>
      </c>
      <c r="G897" s="8">
        <v>4</v>
      </c>
      <c r="H897" s="7" t="s">
        <v>86</v>
      </c>
      <c r="I897" s="7">
        <v>4</v>
      </c>
      <c r="J897" s="9" t="s">
        <v>176</v>
      </c>
      <c r="K897" s="7">
        <v>3</v>
      </c>
      <c r="L897" s="7" t="s">
        <v>52</v>
      </c>
      <c r="M897" s="7">
        <f t="shared" si="62"/>
        <v>1</v>
      </c>
      <c r="N897" s="9" t="s">
        <v>177</v>
      </c>
      <c r="O897" s="7">
        <v>0</v>
      </c>
      <c r="P897" s="9" t="s">
        <v>63</v>
      </c>
      <c r="Q897" s="7" t="s">
        <v>38</v>
      </c>
      <c r="R897" s="7" t="s">
        <v>38</v>
      </c>
      <c r="S897" s="10" t="s">
        <v>1968</v>
      </c>
      <c r="T897" s="7"/>
      <c r="U897" s="7"/>
      <c r="V897" s="7"/>
      <c r="W897" s="7"/>
      <c r="X897" s="7">
        <v>5</v>
      </c>
      <c r="Y897" s="7"/>
      <c r="Z897" s="7"/>
      <c r="AA897" s="7"/>
      <c r="AB897" s="7">
        <f t="shared" si="66"/>
        <v>1.6666666666666667</v>
      </c>
      <c r="AC897" s="7">
        <f t="shared" si="63"/>
        <v>1.6666666666666667</v>
      </c>
      <c r="AD897" s="7"/>
      <c r="AE897" s="7">
        <v>1</v>
      </c>
      <c r="AF897" s="7" t="s">
        <v>155</v>
      </c>
      <c r="AG897" s="7" t="s">
        <v>786</v>
      </c>
      <c r="AH897" s="7"/>
      <c r="AI897" s="7"/>
      <c r="AJ897" s="7"/>
      <c r="AK897" s="7"/>
      <c r="AL897" s="9"/>
      <c r="AM897" s="7" t="s">
        <v>787</v>
      </c>
      <c r="AN897" s="7" t="s">
        <v>71</v>
      </c>
      <c r="AO897" s="15" t="s">
        <v>2587</v>
      </c>
    </row>
    <row r="898" spans="1:41" s="11" customFormat="1" ht="24" x14ac:dyDescent="0.25">
      <c r="A898" s="2">
        <v>897</v>
      </c>
      <c r="B898" s="7" t="s">
        <v>755</v>
      </c>
      <c r="C898" s="7" t="s">
        <v>788</v>
      </c>
      <c r="D898" s="7" t="s">
        <v>789</v>
      </c>
      <c r="E898" s="7">
        <v>18</v>
      </c>
      <c r="F898" s="8">
        <v>1</v>
      </c>
      <c r="G898" s="8">
        <v>7</v>
      </c>
      <c r="H898" s="7" t="s">
        <v>790</v>
      </c>
      <c r="I898" s="7">
        <v>7</v>
      </c>
      <c r="J898" s="9" t="s">
        <v>176</v>
      </c>
      <c r="K898" s="9" t="s">
        <v>189</v>
      </c>
      <c r="L898" s="7" t="s">
        <v>52</v>
      </c>
      <c r="M898" s="7">
        <f t="shared" ref="M898:M961" si="67">IF(L898="n",F898,0)</f>
        <v>1</v>
      </c>
      <c r="N898" s="9" t="s">
        <v>177</v>
      </c>
      <c r="O898" s="7">
        <v>0</v>
      </c>
      <c r="P898" s="9" t="s">
        <v>63</v>
      </c>
      <c r="Q898" s="9" t="s">
        <v>38</v>
      </c>
      <c r="R898" s="9" t="s">
        <v>38</v>
      </c>
      <c r="S898" s="13" t="s">
        <v>1969</v>
      </c>
      <c r="T898" s="7">
        <v>7</v>
      </c>
      <c r="U898" s="7">
        <v>7</v>
      </c>
      <c r="V898" s="7">
        <v>70</v>
      </c>
      <c r="W898" s="7" t="s">
        <v>79</v>
      </c>
      <c r="X898" s="7"/>
      <c r="Y898" s="7">
        <v>15</v>
      </c>
      <c r="Z898" s="7">
        <v>15</v>
      </c>
      <c r="AA898" s="7" t="s">
        <v>76</v>
      </c>
      <c r="AB898" s="7">
        <f t="shared" si="66"/>
        <v>7.333333333333333</v>
      </c>
      <c r="AC898" s="7">
        <f t="shared" ref="AC898:AC961" si="68">IF(L898="n",AB898,0)</f>
        <v>7.333333333333333</v>
      </c>
      <c r="AD898" s="7"/>
      <c r="AE898" s="7"/>
      <c r="AF898" s="7"/>
      <c r="AG898" s="7"/>
      <c r="AH898" s="7"/>
      <c r="AI898" s="7"/>
      <c r="AJ898" s="7"/>
      <c r="AK898" s="7"/>
      <c r="AL898" s="9"/>
      <c r="AM898" s="7" t="s">
        <v>559</v>
      </c>
      <c r="AN898" s="7" t="s">
        <v>2851</v>
      </c>
      <c r="AO898" s="12"/>
    </row>
    <row r="899" spans="1:41" s="11" customFormat="1" ht="24" x14ac:dyDescent="0.25">
      <c r="A899" s="2">
        <v>898</v>
      </c>
      <c r="B899" s="7" t="s">
        <v>687</v>
      </c>
      <c r="C899" s="7" t="s">
        <v>791</v>
      </c>
      <c r="D899" s="7" t="s">
        <v>792</v>
      </c>
      <c r="E899" s="7">
        <v>31</v>
      </c>
      <c r="F899" s="8">
        <v>1</v>
      </c>
      <c r="G899" s="9" t="s">
        <v>196</v>
      </c>
      <c r="H899" s="7">
        <v>2</v>
      </c>
      <c r="I899" s="7">
        <v>2</v>
      </c>
      <c r="J899" s="9" t="s">
        <v>176</v>
      </c>
      <c r="K899" s="9" t="s">
        <v>34</v>
      </c>
      <c r="L899" s="7" t="s">
        <v>52</v>
      </c>
      <c r="M899" s="7">
        <f t="shared" si="67"/>
        <v>1</v>
      </c>
      <c r="N899" s="9" t="s">
        <v>177</v>
      </c>
      <c r="O899" s="7">
        <v>0</v>
      </c>
      <c r="P899" s="9" t="s">
        <v>63</v>
      </c>
      <c r="Q899" s="9" t="s">
        <v>38</v>
      </c>
      <c r="R899" s="9" t="s">
        <v>38</v>
      </c>
      <c r="S899" s="13" t="s">
        <v>1970</v>
      </c>
      <c r="T899" s="9" t="s">
        <v>242</v>
      </c>
      <c r="U899" s="7">
        <v>10</v>
      </c>
      <c r="V899" s="7">
        <v>200</v>
      </c>
      <c r="W899" s="9" t="s">
        <v>793</v>
      </c>
      <c r="X899" s="7"/>
      <c r="Y899" s="7"/>
      <c r="Z899" s="7"/>
      <c r="AA899" s="7"/>
      <c r="AB899" s="7">
        <f t="shared" si="66"/>
        <v>3.3333333333333335</v>
      </c>
      <c r="AC899" s="7">
        <f t="shared" si="68"/>
        <v>3.3333333333333335</v>
      </c>
      <c r="AD899" s="7"/>
      <c r="AE899" s="7">
        <v>1</v>
      </c>
      <c r="AF899" s="7"/>
      <c r="AG899" s="7"/>
      <c r="AH899" s="7"/>
      <c r="AI899" s="7"/>
      <c r="AJ899" s="7"/>
      <c r="AK899" s="7"/>
      <c r="AL899" s="9"/>
      <c r="AM899" s="7" t="s">
        <v>794</v>
      </c>
      <c r="AN899" s="7" t="s">
        <v>2850</v>
      </c>
      <c r="AO899" s="12"/>
    </row>
    <row r="900" spans="1:41" s="11" customFormat="1" ht="24" x14ac:dyDescent="0.25">
      <c r="A900" s="2">
        <v>899</v>
      </c>
      <c r="B900" s="7" t="s">
        <v>755</v>
      </c>
      <c r="C900" s="7" t="s">
        <v>78</v>
      </c>
      <c r="D900" s="7" t="s">
        <v>795</v>
      </c>
      <c r="E900" s="7">
        <v>21</v>
      </c>
      <c r="F900" s="8">
        <v>1</v>
      </c>
      <c r="G900" s="8">
        <v>2</v>
      </c>
      <c r="H900" s="7" t="s">
        <v>87</v>
      </c>
      <c r="I900" s="7">
        <v>2</v>
      </c>
      <c r="J900" s="9" t="s">
        <v>176</v>
      </c>
      <c r="K900" s="7" t="s">
        <v>189</v>
      </c>
      <c r="L900" s="7" t="s">
        <v>52</v>
      </c>
      <c r="M900" s="7">
        <f t="shared" si="67"/>
        <v>1</v>
      </c>
      <c r="N900" s="9" t="s">
        <v>177</v>
      </c>
      <c r="O900" s="7">
        <v>0</v>
      </c>
      <c r="P900" s="9" t="s">
        <v>63</v>
      </c>
      <c r="Q900" s="7" t="s">
        <v>38</v>
      </c>
      <c r="R900" s="7" t="s">
        <v>38</v>
      </c>
      <c r="S900" s="13" t="s">
        <v>1970</v>
      </c>
      <c r="T900" s="7">
        <v>8</v>
      </c>
      <c r="U900" s="7">
        <v>8</v>
      </c>
      <c r="V900" s="7">
        <v>190</v>
      </c>
      <c r="W900" s="7" t="s">
        <v>796</v>
      </c>
      <c r="X900" s="7"/>
      <c r="Y900" s="7"/>
      <c r="Z900" s="7"/>
      <c r="AA900" s="7"/>
      <c r="AB900" s="7">
        <f t="shared" si="66"/>
        <v>2.6666666666666665</v>
      </c>
      <c r="AC900" s="7">
        <f t="shared" si="68"/>
        <v>2.6666666666666665</v>
      </c>
      <c r="AD900" s="7"/>
      <c r="AE900" s="7">
        <v>1</v>
      </c>
      <c r="AF900" s="7" t="s">
        <v>40</v>
      </c>
      <c r="AG900" s="7" t="s">
        <v>797</v>
      </c>
      <c r="AH900" s="7"/>
      <c r="AI900" s="7"/>
      <c r="AJ900" s="7"/>
      <c r="AK900" s="7"/>
      <c r="AL900" s="9"/>
      <c r="AM900" s="7" t="s">
        <v>798</v>
      </c>
      <c r="AN900" s="7" t="s">
        <v>2850</v>
      </c>
      <c r="AO900" s="12"/>
    </row>
    <row r="901" spans="1:41" s="11" customFormat="1" x14ac:dyDescent="0.25">
      <c r="A901" s="2">
        <v>900</v>
      </c>
      <c r="B901" s="7" t="s">
        <v>755</v>
      </c>
      <c r="C901" s="7" t="s">
        <v>89</v>
      </c>
      <c r="D901" s="7" t="s">
        <v>799</v>
      </c>
      <c r="E901" s="7">
        <v>45</v>
      </c>
      <c r="F901" s="8">
        <v>1</v>
      </c>
      <c r="G901" s="8">
        <v>2</v>
      </c>
      <c r="H901" s="7">
        <v>2</v>
      </c>
      <c r="I901" s="7">
        <v>2</v>
      </c>
      <c r="J901" s="9" t="s">
        <v>176</v>
      </c>
      <c r="K901" s="7">
        <v>3</v>
      </c>
      <c r="L901" s="7" t="s">
        <v>52</v>
      </c>
      <c r="M901" s="7">
        <f t="shared" si="67"/>
        <v>1</v>
      </c>
      <c r="N901" s="9" t="s">
        <v>177</v>
      </c>
      <c r="O901" s="7">
        <v>0</v>
      </c>
      <c r="P901" s="9" t="s">
        <v>63</v>
      </c>
      <c r="Q901" s="7" t="s">
        <v>38</v>
      </c>
      <c r="R901" s="7" t="s">
        <v>38</v>
      </c>
      <c r="S901" s="13" t="s">
        <v>1971</v>
      </c>
      <c r="T901" s="7"/>
      <c r="U901" s="7"/>
      <c r="V901" s="7"/>
      <c r="W901" s="7"/>
      <c r="X901" s="7">
        <v>3</v>
      </c>
      <c r="Y901" s="7"/>
      <c r="Z901" s="7"/>
      <c r="AA901" s="7"/>
      <c r="AB901" s="7">
        <f t="shared" si="66"/>
        <v>1</v>
      </c>
      <c r="AC901" s="7">
        <f t="shared" si="68"/>
        <v>1</v>
      </c>
      <c r="AD901" s="7"/>
      <c r="AE901" s="7"/>
      <c r="AF901" s="7"/>
      <c r="AG901" s="7"/>
      <c r="AH901" s="7"/>
      <c r="AI901" s="7"/>
      <c r="AJ901" s="7"/>
      <c r="AK901" s="7"/>
      <c r="AL901" s="9"/>
      <c r="AM901" s="7" t="s">
        <v>71</v>
      </c>
      <c r="AN901" s="7" t="s">
        <v>71</v>
      </c>
      <c r="AO901" s="12"/>
    </row>
    <row r="902" spans="1:41" s="11" customFormat="1" x14ac:dyDescent="0.25">
      <c r="A902" s="2">
        <v>901</v>
      </c>
      <c r="B902" s="7" t="s">
        <v>755</v>
      </c>
      <c r="C902" s="7" t="s">
        <v>119</v>
      </c>
      <c r="D902" s="7">
        <v>13</v>
      </c>
      <c r="E902" s="7">
        <v>13</v>
      </c>
      <c r="F902" s="8">
        <v>1</v>
      </c>
      <c r="G902" s="8">
        <v>1</v>
      </c>
      <c r="H902" s="7">
        <v>1</v>
      </c>
      <c r="I902" s="7">
        <v>1</v>
      </c>
      <c r="J902" s="9" t="s">
        <v>176</v>
      </c>
      <c r="K902" s="7">
        <v>3</v>
      </c>
      <c r="L902" s="7" t="s">
        <v>52</v>
      </c>
      <c r="M902" s="7">
        <f t="shared" si="67"/>
        <v>1</v>
      </c>
      <c r="N902" s="9" t="s">
        <v>177</v>
      </c>
      <c r="O902" s="7">
        <v>0</v>
      </c>
      <c r="P902" s="9" t="s">
        <v>63</v>
      </c>
      <c r="Q902" s="7" t="s">
        <v>38</v>
      </c>
      <c r="R902" s="7" t="s">
        <v>38</v>
      </c>
      <c r="S902" s="13" t="s">
        <v>1972</v>
      </c>
      <c r="T902" s="7"/>
      <c r="U902" s="7"/>
      <c r="V902" s="7"/>
      <c r="W902" s="7"/>
      <c r="X902" s="7"/>
      <c r="Y902" s="7"/>
      <c r="Z902" s="7"/>
      <c r="AA902" s="7"/>
      <c r="AB902" s="7">
        <v>0.33333333333333298</v>
      </c>
      <c r="AC902" s="7">
        <f t="shared" si="68"/>
        <v>0.33333333333333298</v>
      </c>
      <c r="AD902" s="7">
        <v>1</v>
      </c>
      <c r="AE902" s="7"/>
      <c r="AF902" s="7" t="s">
        <v>40</v>
      </c>
      <c r="AG902" s="7"/>
      <c r="AH902" s="7"/>
      <c r="AI902" s="7"/>
      <c r="AJ902" s="7"/>
      <c r="AK902" s="7"/>
      <c r="AL902" s="9"/>
      <c r="AM902" s="7" t="s">
        <v>71</v>
      </c>
      <c r="AN902" s="7" t="s">
        <v>71</v>
      </c>
      <c r="AO902" s="12"/>
    </row>
    <row r="903" spans="1:41" s="11" customFormat="1" x14ac:dyDescent="0.25">
      <c r="A903" s="2">
        <v>902</v>
      </c>
      <c r="B903" s="7" t="s">
        <v>755</v>
      </c>
      <c r="C903" s="7" t="s">
        <v>100</v>
      </c>
      <c r="D903" s="7">
        <v>3</v>
      </c>
      <c r="E903" s="7">
        <v>3</v>
      </c>
      <c r="F903" s="8">
        <v>1</v>
      </c>
      <c r="G903" s="8">
        <v>1</v>
      </c>
      <c r="H903" s="7">
        <v>1</v>
      </c>
      <c r="I903" s="7">
        <v>1</v>
      </c>
      <c r="J903" s="9" t="s">
        <v>176</v>
      </c>
      <c r="K903" s="7">
        <v>3</v>
      </c>
      <c r="L903" s="7" t="s">
        <v>52</v>
      </c>
      <c r="M903" s="7">
        <f t="shared" si="67"/>
        <v>1</v>
      </c>
      <c r="N903" s="9"/>
      <c r="O903" s="7"/>
      <c r="P903" s="9"/>
      <c r="Q903" s="7"/>
      <c r="R903" s="7"/>
      <c r="S903" s="7"/>
      <c r="T903" s="7"/>
      <c r="U903" s="7"/>
      <c r="V903" s="7"/>
      <c r="W903" s="7"/>
      <c r="X903" s="7">
        <v>3</v>
      </c>
      <c r="Y903" s="7"/>
      <c r="Z903" s="7"/>
      <c r="AA903" s="7"/>
      <c r="AB903" s="7">
        <f t="shared" ref="AB903:AB911" si="69">(U903+X903+Z903)/3</f>
        <v>1</v>
      </c>
      <c r="AC903" s="7">
        <f t="shared" si="68"/>
        <v>1</v>
      </c>
      <c r="AD903" s="7"/>
      <c r="AE903" s="7"/>
      <c r="AF903" s="7"/>
      <c r="AG903" s="7"/>
      <c r="AH903" s="7"/>
      <c r="AI903" s="7"/>
      <c r="AJ903" s="7"/>
      <c r="AK903" s="7"/>
      <c r="AL903" s="9"/>
      <c r="AM903" s="7" t="s">
        <v>71</v>
      </c>
      <c r="AN903" s="7" t="s">
        <v>71</v>
      </c>
      <c r="AO903" s="12"/>
    </row>
    <row r="904" spans="1:41" s="11" customFormat="1" ht="24" x14ac:dyDescent="0.25">
      <c r="A904" s="2">
        <v>903</v>
      </c>
      <c r="B904" s="7" t="s">
        <v>800</v>
      </c>
      <c r="C904" s="7" t="s">
        <v>50</v>
      </c>
      <c r="D904" s="7">
        <v>76</v>
      </c>
      <c r="E904" s="7">
        <v>76</v>
      </c>
      <c r="F904" s="8">
        <v>1</v>
      </c>
      <c r="G904" s="8">
        <v>1</v>
      </c>
      <c r="H904" s="7">
        <v>1</v>
      </c>
      <c r="I904" s="7">
        <v>1</v>
      </c>
      <c r="J904" s="9" t="s">
        <v>77</v>
      </c>
      <c r="K904" s="7">
        <v>1</v>
      </c>
      <c r="L904" s="7" t="s">
        <v>52</v>
      </c>
      <c r="M904" s="7">
        <f t="shared" si="67"/>
        <v>1</v>
      </c>
      <c r="N904" s="9" t="s">
        <v>36</v>
      </c>
      <c r="O904" s="7">
        <v>0</v>
      </c>
      <c r="P904" s="9" t="s">
        <v>63</v>
      </c>
      <c r="Q904" s="7" t="s">
        <v>52</v>
      </c>
      <c r="R904" s="7" t="s">
        <v>38</v>
      </c>
      <c r="S904" s="13" t="s">
        <v>1973</v>
      </c>
      <c r="T904" s="7"/>
      <c r="U904" s="7"/>
      <c r="V904" s="7"/>
      <c r="W904" s="7"/>
      <c r="X904" s="7"/>
      <c r="Y904" s="7">
        <v>100</v>
      </c>
      <c r="Z904" s="7">
        <v>100</v>
      </c>
      <c r="AA904" s="7">
        <v>44</v>
      </c>
      <c r="AB904" s="7">
        <f t="shared" si="69"/>
        <v>33.333333333333336</v>
      </c>
      <c r="AC904" s="7">
        <f t="shared" si="68"/>
        <v>33.333333333333336</v>
      </c>
      <c r="AD904" s="7"/>
      <c r="AE904" s="7"/>
      <c r="AF904" s="7"/>
      <c r="AG904" s="7"/>
      <c r="AH904" s="7"/>
      <c r="AI904" s="7"/>
      <c r="AJ904" s="10" t="s">
        <v>801</v>
      </c>
      <c r="AK904" s="7"/>
      <c r="AL904" s="9"/>
      <c r="AM904" s="7" t="s">
        <v>802</v>
      </c>
      <c r="AN904" s="7" t="s">
        <v>2847</v>
      </c>
      <c r="AO904" s="12"/>
    </row>
    <row r="905" spans="1:41" s="11" customFormat="1" x14ac:dyDescent="0.25">
      <c r="A905" s="2">
        <v>904</v>
      </c>
      <c r="B905" s="7" t="s">
        <v>800</v>
      </c>
      <c r="C905" s="7" t="s">
        <v>100</v>
      </c>
      <c r="D905" s="7">
        <v>8</v>
      </c>
      <c r="E905" s="7">
        <v>8</v>
      </c>
      <c r="F905" s="8">
        <v>1</v>
      </c>
      <c r="G905" s="8">
        <v>1</v>
      </c>
      <c r="H905" s="7">
        <v>1</v>
      </c>
      <c r="I905" s="7">
        <v>1</v>
      </c>
      <c r="J905" s="9" t="s">
        <v>77</v>
      </c>
      <c r="K905" s="7">
        <v>1</v>
      </c>
      <c r="L905" s="7" t="s">
        <v>38</v>
      </c>
      <c r="M905" s="7">
        <f t="shared" si="67"/>
        <v>0</v>
      </c>
      <c r="N905" s="9"/>
      <c r="O905" s="7"/>
      <c r="P905" s="9"/>
      <c r="Q905" s="7"/>
      <c r="R905" s="7"/>
      <c r="S905" s="7"/>
      <c r="T905" s="7"/>
      <c r="U905" s="7"/>
      <c r="V905" s="7"/>
      <c r="W905" s="7"/>
      <c r="X905" s="7">
        <v>3</v>
      </c>
      <c r="Y905" s="7"/>
      <c r="Z905" s="7"/>
      <c r="AA905" s="7"/>
      <c r="AB905" s="7">
        <f t="shared" si="69"/>
        <v>1</v>
      </c>
      <c r="AC905" s="7">
        <f t="shared" si="68"/>
        <v>0</v>
      </c>
      <c r="AD905" s="7"/>
      <c r="AE905" s="7"/>
      <c r="AF905" s="7"/>
      <c r="AG905" s="7"/>
      <c r="AH905" s="7"/>
      <c r="AI905" s="7"/>
      <c r="AJ905" s="7"/>
      <c r="AK905" s="7"/>
      <c r="AL905" s="9"/>
      <c r="AM905" s="7" t="s">
        <v>71</v>
      </c>
      <c r="AN905" s="7" t="s">
        <v>71</v>
      </c>
      <c r="AO905" s="12"/>
    </row>
    <row r="906" spans="1:41" s="11" customFormat="1" x14ac:dyDescent="0.25">
      <c r="A906" s="2">
        <v>905</v>
      </c>
      <c r="B906" s="7" t="s">
        <v>800</v>
      </c>
      <c r="C906" s="7" t="s">
        <v>100</v>
      </c>
      <c r="D906" s="7">
        <v>5</v>
      </c>
      <c r="E906" s="7">
        <v>5</v>
      </c>
      <c r="F906" s="8">
        <v>1</v>
      </c>
      <c r="G906" s="8">
        <v>1</v>
      </c>
      <c r="H906" s="7">
        <v>1</v>
      </c>
      <c r="I906" s="7">
        <v>1</v>
      </c>
      <c r="J906" s="9" t="s">
        <v>353</v>
      </c>
      <c r="K906" s="7"/>
      <c r="L906" s="7" t="s">
        <v>38</v>
      </c>
      <c r="M906" s="7">
        <f t="shared" si="67"/>
        <v>0</v>
      </c>
      <c r="N906" s="9"/>
      <c r="O906" s="7"/>
      <c r="P906" s="9"/>
      <c r="Q906" s="7"/>
      <c r="R906" s="7"/>
      <c r="S906" s="7"/>
      <c r="T906" s="7"/>
      <c r="U906" s="7"/>
      <c r="V906" s="7"/>
      <c r="W906" s="7"/>
      <c r="X906" s="7">
        <v>3</v>
      </c>
      <c r="Y906" s="7"/>
      <c r="Z906" s="7"/>
      <c r="AA906" s="7"/>
      <c r="AB906" s="7">
        <f t="shared" si="69"/>
        <v>1</v>
      </c>
      <c r="AC906" s="7">
        <f t="shared" si="68"/>
        <v>0</v>
      </c>
      <c r="AD906" s="7"/>
      <c r="AE906" s="7"/>
      <c r="AF906" s="7"/>
      <c r="AG906" s="7"/>
      <c r="AH906" s="7"/>
      <c r="AI906" s="7"/>
      <c r="AJ906" s="7"/>
      <c r="AK906" s="7"/>
      <c r="AL906" s="9"/>
      <c r="AM906" s="7" t="s">
        <v>71</v>
      </c>
      <c r="AN906" s="7" t="s">
        <v>71</v>
      </c>
      <c r="AO906" s="12"/>
    </row>
    <row r="907" spans="1:41" s="11" customFormat="1" x14ac:dyDescent="0.25">
      <c r="A907" s="2">
        <v>906</v>
      </c>
      <c r="B907" s="7" t="s">
        <v>800</v>
      </c>
      <c r="C907" s="7" t="s">
        <v>50</v>
      </c>
      <c r="D907" s="7">
        <v>33</v>
      </c>
      <c r="E907" s="7">
        <v>33</v>
      </c>
      <c r="F907" s="8">
        <v>1</v>
      </c>
      <c r="G907" s="8">
        <v>1</v>
      </c>
      <c r="H907" s="7">
        <v>1</v>
      </c>
      <c r="I907" s="7">
        <v>1</v>
      </c>
      <c r="J907" s="9" t="s">
        <v>35</v>
      </c>
      <c r="K907" s="7">
        <v>1</v>
      </c>
      <c r="L907" s="7" t="s">
        <v>52</v>
      </c>
      <c r="M907" s="7">
        <f t="shared" si="67"/>
        <v>1</v>
      </c>
      <c r="N907" s="9" t="s">
        <v>36</v>
      </c>
      <c r="O907" s="7">
        <v>0</v>
      </c>
      <c r="P907" s="9" t="s">
        <v>33</v>
      </c>
      <c r="Q907" s="7" t="s">
        <v>38</v>
      </c>
      <c r="R907" s="7" t="s">
        <v>38</v>
      </c>
      <c r="S907" s="10" t="s">
        <v>1492</v>
      </c>
      <c r="T907" s="7"/>
      <c r="U907" s="7"/>
      <c r="V907" s="7"/>
      <c r="W907" s="7"/>
      <c r="X907" s="7"/>
      <c r="Y907" s="7">
        <v>50</v>
      </c>
      <c r="Z907" s="7">
        <v>50</v>
      </c>
      <c r="AA907" s="7">
        <v>49</v>
      </c>
      <c r="AB907" s="7">
        <f t="shared" si="69"/>
        <v>16.666666666666668</v>
      </c>
      <c r="AC907" s="7">
        <f t="shared" si="68"/>
        <v>16.666666666666668</v>
      </c>
      <c r="AD907" s="7"/>
      <c r="AE907" s="7"/>
      <c r="AF907" s="7"/>
      <c r="AG907" s="7"/>
      <c r="AH907" s="7"/>
      <c r="AI907" s="7"/>
      <c r="AJ907" s="7"/>
      <c r="AK907" s="7"/>
      <c r="AL907" s="9"/>
      <c r="AM907" s="7" t="s">
        <v>42</v>
      </c>
      <c r="AN907" s="7" t="s">
        <v>42</v>
      </c>
      <c r="AO907" s="12"/>
    </row>
    <row r="908" spans="1:41" s="11" customFormat="1" x14ac:dyDescent="0.25">
      <c r="A908" s="2">
        <v>907</v>
      </c>
      <c r="B908" s="7" t="s">
        <v>800</v>
      </c>
      <c r="C908" s="7" t="s">
        <v>50</v>
      </c>
      <c r="D908" s="7">
        <v>32</v>
      </c>
      <c r="E908" s="7">
        <v>32</v>
      </c>
      <c r="F908" s="8">
        <v>1</v>
      </c>
      <c r="G908" s="8">
        <v>1</v>
      </c>
      <c r="H908" s="7">
        <v>1</v>
      </c>
      <c r="I908" s="7">
        <v>1</v>
      </c>
      <c r="J908" s="9" t="s">
        <v>35</v>
      </c>
      <c r="K908" s="7">
        <v>2</v>
      </c>
      <c r="L908" s="7" t="s">
        <v>52</v>
      </c>
      <c r="M908" s="7">
        <f t="shared" si="67"/>
        <v>1</v>
      </c>
      <c r="N908" s="9" t="s">
        <v>34</v>
      </c>
      <c r="O908" s="7">
        <v>0</v>
      </c>
      <c r="P908" s="9" t="s">
        <v>63</v>
      </c>
      <c r="Q908" s="7" t="s">
        <v>38</v>
      </c>
      <c r="R908" s="7" t="s">
        <v>52</v>
      </c>
      <c r="S908" s="10" t="s">
        <v>1974</v>
      </c>
      <c r="T908" s="7"/>
      <c r="U908" s="7"/>
      <c r="V908" s="7"/>
      <c r="W908" s="7"/>
      <c r="X908" s="7"/>
      <c r="Y908" s="7">
        <v>27</v>
      </c>
      <c r="Z908" s="7">
        <v>27</v>
      </c>
      <c r="AA908" s="7">
        <v>65</v>
      </c>
      <c r="AB908" s="7">
        <f t="shared" si="69"/>
        <v>9</v>
      </c>
      <c r="AC908" s="7">
        <f t="shared" si="68"/>
        <v>9</v>
      </c>
      <c r="AD908" s="7"/>
      <c r="AE908" s="7"/>
      <c r="AF908" s="7"/>
      <c r="AG908" s="7"/>
      <c r="AH908" s="7"/>
      <c r="AI908" s="7"/>
      <c r="AJ908" s="7"/>
      <c r="AK908" s="7"/>
      <c r="AL908" s="9"/>
      <c r="AM908" s="7" t="s">
        <v>71</v>
      </c>
      <c r="AN908" s="7" t="s">
        <v>71</v>
      </c>
      <c r="AO908" s="12"/>
    </row>
    <row r="909" spans="1:41" s="11" customFormat="1" x14ac:dyDescent="0.25">
      <c r="A909" s="2">
        <v>908</v>
      </c>
      <c r="B909" s="7" t="s">
        <v>800</v>
      </c>
      <c r="C909" s="7" t="s">
        <v>100</v>
      </c>
      <c r="D909" s="7">
        <v>12</v>
      </c>
      <c r="E909" s="7">
        <v>12</v>
      </c>
      <c r="F909" s="8">
        <v>1</v>
      </c>
      <c r="G909" s="8">
        <v>1</v>
      </c>
      <c r="H909" s="7">
        <v>1</v>
      </c>
      <c r="I909" s="7">
        <v>1</v>
      </c>
      <c r="J909" s="9" t="s">
        <v>35</v>
      </c>
      <c r="K909" s="7">
        <v>1</v>
      </c>
      <c r="L909" s="7" t="s">
        <v>52</v>
      </c>
      <c r="M909" s="7">
        <f t="shared" si="67"/>
        <v>1</v>
      </c>
      <c r="N909" s="9"/>
      <c r="O909" s="7"/>
      <c r="P909" s="9"/>
      <c r="Q909" s="7"/>
      <c r="R909" s="7"/>
      <c r="S909" s="7"/>
      <c r="T909" s="7"/>
      <c r="U909" s="7"/>
      <c r="V909" s="7"/>
      <c r="W909" s="7"/>
      <c r="X909" s="7">
        <v>3</v>
      </c>
      <c r="Y909" s="7"/>
      <c r="Z909" s="7"/>
      <c r="AA909" s="7"/>
      <c r="AB909" s="7">
        <f t="shared" si="69"/>
        <v>1</v>
      </c>
      <c r="AC909" s="7">
        <f t="shared" si="68"/>
        <v>1</v>
      </c>
      <c r="AD909" s="7"/>
      <c r="AE909" s="7"/>
      <c r="AF909" s="7"/>
      <c r="AG909" s="7"/>
      <c r="AH909" s="7"/>
      <c r="AI909" s="7"/>
      <c r="AJ909" s="7"/>
      <c r="AK909" s="7"/>
      <c r="AL909" s="9"/>
      <c r="AM909" s="7" t="s">
        <v>71</v>
      </c>
      <c r="AN909" s="7" t="s">
        <v>71</v>
      </c>
      <c r="AO909" s="12"/>
    </row>
    <row r="910" spans="1:41" s="11" customFormat="1" x14ac:dyDescent="0.25">
      <c r="A910" s="2">
        <v>909</v>
      </c>
      <c r="B910" s="7" t="s">
        <v>800</v>
      </c>
      <c r="C910" s="7" t="s">
        <v>89</v>
      </c>
      <c r="D910" s="7" t="s">
        <v>146</v>
      </c>
      <c r="E910" s="7">
        <v>5</v>
      </c>
      <c r="F910" s="8">
        <v>2</v>
      </c>
      <c r="G910" s="8">
        <v>2</v>
      </c>
      <c r="H910" s="7" t="s">
        <v>87</v>
      </c>
      <c r="I910" s="7">
        <v>2</v>
      </c>
      <c r="J910" s="9" t="s">
        <v>35</v>
      </c>
      <c r="K910" s="7">
        <v>2</v>
      </c>
      <c r="L910" s="7" t="s">
        <v>52</v>
      </c>
      <c r="M910" s="7">
        <f t="shared" si="67"/>
        <v>2</v>
      </c>
      <c r="N910" s="9"/>
      <c r="O910" s="7"/>
      <c r="P910" s="9"/>
      <c r="Q910" s="7"/>
      <c r="R910" s="7"/>
      <c r="S910" s="7"/>
      <c r="T910" s="7"/>
      <c r="U910" s="7"/>
      <c r="V910" s="7"/>
      <c r="W910" s="7"/>
      <c r="X910" s="7">
        <v>3</v>
      </c>
      <c r="Y910" s="7"/>
      <c r="Z910" s="7"/>
      <c r="AA910" s="7"/>
      <c r="AB910" s="7">
        <f t="shared" si="69"/>
        <v>1</v>
      </c>
      <c r="AC910" s="7">
        <f t="shared" si="68"/>
        <v>1</v>
      </c>
      <c r="AD910" s="7"/>
      <c r="AE910" s="7"/>
      <c r="AF910" s="7"/>
      <c r="AG910" s="7"/>
      <c r="AH910" s="7"/>
      <c r="AI910" s="7"/>
      <c r="AJ910" s="7"/>
      <c r="AK910" s="7"/>
      <c r="AL910" s="9"/>
      <c r="AM910" s="7" t="s">
        <v>71</v>
      </c>
      <c r="AN910" s="7" t="s">
        <v>71</v>
      </c>
      <c r="AO910" s="12"/>
    </row>
    <row r="911" spans="1:41" s="11" customFormat="1" ht="24" x14ac:dyDescent="0.25">
      <c r="A911" s="2">
        <v>910</v>
      </c>
      <c r="B911" s="7" t="s">
        <v>800</v>
      </c>
      <c r="C911" s="7" t="s">
        <v>519</v>
      </c>
      <c r="D911" s="7" t="s">
        <v>803</v>
      </c>
      <c r="E911" s="7">
        <v>85</v>
      </c>
      <c r="F911" s="8">
        <v>1</v>
      </c>
      <c r="G911" s="8">
        <v>2</v>
      </c>
      <c r="H911" s="7">
        <v>2</v>
      </c>
      <c r="I911" s="7">
        <v>2</v>
      </c>
      <c r="J911" s="9" t="s">
        <v>35</v>
      </c>
      <c r="K911" s="7">
        <v>1</v>
      </c>
      <c r="L911" s="7" t="s">
        <v>52</v>
      </c>
      <c r="M911" s="7">
        <f t="shared" si="67"/>
        <v>1</v>
      </c>
      <c r="N911" s="9" t="s">
        <v>36</v>
      </c>
      <c r="O911" s="7">
        <v>1</v>
      </c>
      <c r="P911" s="9" t="s">
        <v>37</v>
      </c>
      <c r="Q911" s="7" t="s">
        <v>38</v>
      </c>
      <c r="R911" s="7" t="s">
        <v>38</v>
      </c>
      <c r="S911" s="10" t="s">
        <v>1975</v>
      </c>
      <c r="T911" s="7"/>
      <c r="U911" s="7"/>
      <c r="V911" s="7"/>
      <c r="W911" s="7"/>
      <c r="X911" s="7">
        <v>10</v>
      </c>
      <c r="Y911" s="7"/>
      <c r="Z911" s="7"/>
      <c r="AA911" s="7"/>
      <c r="AB911" s="7">
        <f t="shared" si="69"/>
        <v>3.3333333333333335</v>
      </c>
      <c r="AC911" s="7">
        <f t="shared" si="68"/>
        <v>3.3333333333333335</v>
      </c>
      <c r="AD911" s="7">
        <v>1</v>
      </c>
      <c r="AE911" s="7"/>
      <c r="AF911" s="7" t="s">
        <v>40</v>
      </c>
      <c r="AG911" s="7" t="s">
        <v>804</v>
      </c>
      <c r="AH911" s="7"/>
      <c r="AI911" s="7"/>
      <c r="AJ911" s="7"/>
      <c r="AK911" s="7"/>
      <c r="AL911" s="9"/>
      <c r="AM911" s="7" t="s">
        <v>42</v>
      </c>
      <c r="AN911" s="7" t="s">
        <v>42</v>
      </c>
      <c r="AO911" s="12"/>
    </row>
    <row r="912" spans="1:41" s="11" customFormat="1" x14ac:dyDescent="0.25">
      <c r="A912" s="2">
        <v>911</v>
      </c>
      <c r="B912" s="7" t="s">
        <v>800</v>
      </c>
      <c r="C912" s="7" t="s">
        <v>119</v>
      </c>
      <c r="D912" s="7">
        <v>10</v>
      </c>
      <c r="E912" s="7">
        <v>10</v>
      </c>
      <c r="F912" s="8">
        <v>1</v>
      </c>
      <c r="G912" s="8">
        <v>1</v>
      </c>
      <c r="H912" s="7">
        <v>1</v>
      </c>
      <c r="I912" s="7">
        <v>1</v>
      </c>
      <c r="J912" s="9" t="s">
        <v>35</v>
      </c>
      <c r="K912" s="7">
        <v>2</v>
      </c>
      <c r="L912" s="7" t="s">
        <v>52</v>
      </c>
      <c r="M912" s="7">
        <f t="shared" si="67"/>
        <v>1</v>
      </c>
      <c r="N912" s="9" t="s">
        <v>36</v>
      </c>
      <c r="O912" s="7">
        <v>0</v>
      </c>
      <c r="P912" s="9" t="s">
        <v>33</v>
      </c>
      <c r="Q912" s="7"/>
      <c r="R912" s="7" t="s">
        <v>38</v>
      </c>
      <c r="S912" s="7" t="s">
        <v>307</v>
      </c>
      <c r="T912" s="7"/>
      <c r="U912" s="7"/>
      <c r="V912" s="7"/>
      <c r="W912" s="7"/>
      <c r="X912" s="7"/>
      <c r="Y912" s="7"/>
      <c r="Z912" s="7"/>
      <c r="AA912" s="7"/>
      <c r="AB912" s="7">
        <v>0.33333333333333298</v>
      </c>
      <c r="AC912" s="7">
        <f t="shared" si="68"/>
        <v>0.33333333333333298</v>
      </c>
      <c r="AD912" s="7">
        <v>1</v>
      </c>
      <c r="AE912" s="7"/>
      <c r="AF912" s="7" t="s">
        <v>40</v>
      </c>
      <c r="AG912" s="7"/>
      <c r="AH912" s="7"/>
      <c r="AI912" s="7"/>
      <c r="AJ912" s="7"/>
      <c r="AK912" s="7"/>
      <c r="AL912" s="9"/>
      <c r="AM912" s="7" t="s">
        <v>71</v>
      </c>
      <c r="AN912" s="7" t="s">
        <v>71</v>
      </c>
      <c r="AO912" s="12"/>
    </row>
    <row r="913" spans="1:41" s="11" customFormat="1" ht="24" x14ac:dyDescent="0.25">
      <c r="A913" s="2">
        <v>912</v>
      </c>
      <c r="B913" s="7" t="s">
        <v>800</v>
      </c>
      <c r="C913" s="7" t="s">
        <v>50</v>
      </c>
      <c r="D913" s="7">
        <v>33</v>
      </c>
      <c r="E913" s="7">
        <v>33</v>
      </c>
      <c r="F913" s="8">
        <v>1</v>
      </c>
      <c r="G913" s="8">
        <v>1</v>
      </c>
      <c r="H913" s="7">
        <v>1</v>
      </c>
      <c r="I913" s="7">
        <v>1</v>
      </c>
      <c r="J913" s="9" t="s">
        <v>70</v>
      </c>
      <c r="K913" s="7">
        <v>2</v>
      </c>
      <c r="L913" s="7" t="s">
        <v>52</v>
      </c>
      <c r="M913" s="7">
        <f t="shared" si="67"/>
        <v>1</v>
      </c>
      <c r="N913" s="9" t="s">
        <v>36</v>
      </c>
      <c r="O913" s="7">
        <v>0</v>
      </c>
      <c r="P913" s="9" t="s">
        <v>33</v>
      </c>
      <c r="Q913" s="7" t="s">
        <v>52</v>
      </c>
      <c r="R913" s="7" t="s">
        <v>38</v>
      </c>
      <c r="S913" s="10" t="s">
        <v>1976</v>
      </c>
      <c r="T913" s="7"/>
      <c r="U913" s="7"/>
      <c r="V913" s="7"/>
      <c r="W913" s="7"/>
      <c r="X913" s="7"/>
      <c r="Y913" s="7">
        <v>25</v>
      </c>
      <c r="Z913" s="7">
        <v>25</v>
      </c>
      <c r="AA913" s="7">
        <v>80</v>
      </c>
      <c r="AB913" s="7">
        <f t="shared" ref="AB913:AB940" si="70">(U913+X913+Z913)/3</f>
        <v>8.3333333333333339</v>
      </c>
      <c r="AC913" s="7">
        <f t="shared" si="68"/>
        <v>8.3333333333333339</v>
      </c>
      <c r="AD913" s="7"/>
      <c r="AE913" s="7"/>
      <c r="AF913" s="7"/>
      <c r="AG913" s="7"/>
      <c r="AH913" s="7"/>
      <c r="AI913" s="7"/>
      <c r="AJ913" s="10" t="s">
        <v>2372</v>
      </c>
      <c r="AK913" s="7"/>
      <c r="AL913" s="9"/>
      <c r="AM913" s="7" t="s">
        <v>67</v>
      </c>
      <c r="AN913" s="7" t="s">
        <v>2847</v>
      </c>
      <c r="AO913" s="12"/>
    </row>
    <row r="914" spans="1:41" s="11" customFormat="1" x14ac:dyDescent="0.25">
      <c r="A914" s="2">
        <v>913</v>
      </c>
      <c r="B914" s="7" t="s">
        <v>800</v>
      </c>
      <c r="C914" s="7" t="s">
        <v>89</v>
      </c>
      <c r="D914" s="7" t="s">
        <v>805</v>
      </c>
      <c r="E914" s="7">
        <f>24+7</f>
        <v>31</v>
      </c>
      <c r="F914" s="8">
        <v>3</v>
      </c>
      <c r="G914" s="8">
        <v>4</v>
      </c>
      <c r="H914" s="7" t="s">
        <v>91</v>
      </c>
      <c r="I914" s="7">
        <v>4</v>
      </c>
      <c r="J914" s="9" t="s">
        <v>35</v>
      </c>
      <c r="K914" s="7">
        <v>2</v>
      </c>
      <c r="L914" s="7" t="s">
        <v>52</v>
      </c>
      <c r="M914" s="7">
        <f t="shared" si="67"/>
        <v>3</v>
      </c>
      <c r="N914" s="9"/>
      <c r="O914" s="7"/>
      <c r="P914" s="9"/>
      <c r="Q914" s="7"/>
      <c r="R914" s="7"/>
      <c r="S914" s="7"/>
      <c r="T914" s="7"/>
      <c r="U914" s="7"/>
      <c r="V914" s="7"/>
      <c r="W914" s="7"/>
      <c r="X914" s="7">
        <v>3</v>
      </c>
      <c r="Y914" s="7"/>
      <c r="Z914" s="7"/>
      <c r="AA914" s="7"/>
      <c r="AB914" s="7">
        <f t="shared" si="70"/>
        <v>1</v>
      </c>
      <c r="AC914" s="7">
        <f t="shared" si="68"/>
        <v>1</v>
      </c>
      <c r="AD914" s="7"/>
      <c r="AE914" s="7"/>
      <c r="AF914" s="7"/>
      <c r="AG914" s="7"/>
      <c r="AH914" s="7"/>
      <c r="AI914" s="7"/>
      <c r="AJ914" s="10" t="s">
        <v>2360</v>
      </c>
      <c r="AK914" s="7"/>
      <c r="AL914" s="9"/>
      <c r="AM914" s="7" t="s">
        <v>71</v>
      </c>
      <c r="AN914" s="7" t="s">
        <v>71</v>
      </c>
      <c r="AO914" s="12"/>
    </row>
    <row r="915" spans="1:41" s="11" customFormat="1" ht="24" x14ac:dyDescent="0.25">
      <c r="A915" s="2">
        <v>914</v>
      </c>
      <c r="B915" s="7" t="s">
        <v>806</v>
      </c>
      <c r="C915" s="7" t="s">
        <v>788</v>
      </c>
      <c r="D915" s="7"/>
      <c r="E915" s="7">
        <v>364</v>
      </c>
      <c r="F915" s="8">
        <v>1</v>
      </c>
      <c r="G915" s="9" t="s">
        <v>807</v>
      </c>
      <c r="H915" s="7" t="s">
        <v>808</v>
      </c>
      <c r="I915" s="7">
        <v>30</v>
      </c>
      <c r="J915" s="9" t="s">
        <v>219</v>
      </c>
      <c r="K915" s="7">
        <v>1</v>
      </c>
      <c r="L915" s="7" t="s">
        <v>52</v>
      </c>
      <c r="M915" s="7">
        <f t="shared" si="67"/>
        <v>1</v>
      </c>
      <c r="N915" s="9" t="s">
        <v>34</v>
      </c>
      <c r="O915" s="7">
        <v>0</v>
      </c>
      <c r="P915" s="9" t="s">
        <v>36</v>
      </c>
      <c r="Q915" s="7" t="s">
        <v>38</v>
      </c>
      <c r="R915" s="7" t="s">
        <v>38</v>
      </c>
      <c r="S915" s="10" t="s">
        <v>1977</v>
      </c>
      <c r="T915" s="7">
        <v>10</v>
      </c>
      <c r="U915" s="7">
        <v>10</v>
      </c>
      <c r="V915" s="7">
        <v>150</v>
      </c>
      <c r="W915" s="7" t="s">
        <v>475</v>
      </c>
      <c r="X915" s="7">
        <v>10</v>
      </c>
      <c r="Y915" s="7">
        <v>17</v>
      </c>
      <c r="Z915" s="7">
        <v>17</v>
      </c>
      <c r="AA915" s="7">
        <v>220</v>
      </c>
      <c r="AB915" s="7">
        <f t="shared" si="70"/>
        <v>12.333333333333334</v>
      </c>
      <c r="AC915" s="7">
        <f t="shared" si="68"/>
        <v>12.333333333333334</v>
      </c>
      <c r="AD915" s="7">
        <v>2</v>
      </c>
      <c r="AE915" s="7">
        <v>1</v>
      </c>
      <c r="AF915" s="7" t="s">
        <v>155</v>
      </c>
      <c r="AG915" s="7" t="s">
        <v>809</v>
      </c>
      <c r="AH915" s="7"/>
      <c r="AI915" s="7"/>
      <c r="AJ915" s="10" t="s">
        <v>2373</v>
      </c>
      <c r="AK915" s="10" t="s">
        <v>2463</v>
      </c>
      <c r="AL915" s="9"/>
      <c r="AM915" s="7" t="s">
        <v>810</v>
      </c>
      <c r="AN915" s="7" t="s">
        <v>662</v>
      </c>
      <c r="AO915" s="15" t="s">
        <v>2588</v>
      </c>
    </row>
    <row r="916" spans="1:41" s="11" customFormat="1" x14ac:dyDescent="0.25">
      <c r="A916" s="2">
        <v>915</v>
      </c>
      <c r="B916" s="7" t="s">
        <v>800</v>
      </c>
      <c r="C916" s="7" t="s">
        <v>100</v>
      </c>
      <c r="D916" s="7">
        <v>242</v>
      </c>
      <c r="E916" s="7">
        <v>242</v>
      </c>
      <c r="F916" s="8">
        <v>1</v>
      </c>
      <c r="G916" s="8">
        <v>1</v>
      </c>
      <c r="H916" s="7">
        <v>1</v>
      </c>
      <c r="I916" s="7">
        <v>1</v>
      </c>
      <c r="J916" s="7" t="s">
        <v>219</v>
      </c>
      <c r="K916" s="7">
        <v>1</v>
      </c>
      <c r="L916" s="7" t="s">
        <v>52</v>
      </c>
      <c r="M916" s="7">
        <f t="shared" si="67"/>
        <v>1</v>
      </c>
      <c r="N916" s="9" t="s">
        <v>34</v>
      </c>
      <c r="O916" s="7">
        <v>2</v>
      </c>
      <c r="P916" s="9" t="s">
        <v>33</v>
      </c>
      <c r="Q916" s="7" t="s">
        <v>38</v>
      </c>
      <c r="R916" s="7" t="s">
        <v>38</v>
      </c>
      <c r="S916" s="10" t="s">
        <v>1978</v>
      </c>
      <c r="T916" s="7"/>
      <c r="U916" s="7"/>
      <c r="V916" s="7"/>
      <c r="W916" s="7"/>
      <c r="X916" s="7">
        <v>5</v>
      </c>
      <c r="Y916" s="7"/>
      <c r="Z916" s="7"/>
      <c r="AA916" s="7"/>
      <c r="AB916" s="7">
        <f t="shared" si="70"/>
        <v>1.6666666666666667</v>
      </c>
      <c r="AC916" s="7">
        <f t="shared" si="68"/>
        <v>1.6666666666666667</v>
      </c>
      <c r="AD916" s="7"/>
      <c r="AE916" s="7"/>
      <c r="AF916" s="7"/>
      <c r="AG916" s="7"/>
      <c r="AH916" s="7"/>
      <c r="AI916" s="7"/>
      <c r="AJ916" s="7"/>
      <c r="AK916" s="7"/>
      <c r="AL916" s="9"/>
      <c r="AM916" s="7" t="s">
        <v>636</v>
      </c>
      <c r="AN916" s="7" t="s">
        <v>662</v>
      </c>
      <c r="AO916" s="12"/>
    </row>
    <row r="917" spans="1:41" s="11" customFormat="1" x14ac:dyDescent="0.25">
      <c r="A917" s="2">
        <v>916</v>
      </c>
      <c r="B917" s="7" t="s">
        <v>800</v>
      </c>
      <c r="C917" s="7" t="s">
        <v>89</v>
      </c>
      <c r="D917" s="7" t="s">
        <v>811</v>
      </c>
      <c r="E917" s="7">
        <v>23</v>
      </c>
      <c r="F917" s="8">
        <v>2</v>
      </c>
      <c r="G917" s="8">
        <v>2</v>
      </c>
      <c r="H917" s="7" t="s">
        <v>87</v>
      </c>
      <c r="I917" s="7">
        <v>2</v>
      </c>
      <c r="J917" s="9" t="s">
        <v>219</v>
      </c>
      <c r="K917" s="7">
        <v>1</v>
      </c>
      <c r="L917" s="7" t="s">
        <v>52</v>
      </c>
      <c r="M917" s="7">
        <f t="shared" si="67"/>
        <v>2</v>
      </c>
      <c r="N917" s="9"/>
      <c r="O917" s="7"/>
      <c r="P917" s="9"/>
      <c r="Q917" s="7"/>
      <c r="R917" s="7"/>
      <c r="S917" s="7"/>
      <c r="T917" s="7"/>
      <c r="U917" s="7"/>
      <c r="V917" s="7"/>
      <c r="W917" s="7"/>
      <c r="X917" s="7">
        <v>3</v>
      </c>
      <c r="Y917" s="7"/>
      <c r="Z917" s="7"/>
      <c r="AA917" s="7"/>
      <c r="AB917" s="7">
        <f t="shared" si="70"/>
        <v>1</v>
      </c>
      <c r="AC917" s="7">
        <f t="shared" si="68"/>
        <v>1</v>
      </c>
      <c r="AD917" s="7"/>
      <c r="AE917" s="7"/>
      <c r="AF917" s="7"/>
      <c r="AG917" s="7"/>
      <c r="AH917" s="7"/>
      <c r="AI917" s="7"/>
      <c r="AJ917" s="7"/>
      <c r="AK917" s="7"/>
      <c r="AL917" s="9"/>
      <c r="AM917" s="7" t="s">
        <v>71</v>
      </c>
      <c r="AN917" s="7" t="s">
        <v>71</v>
      </c>
      <c r="AO917" s="12"/>
    </row>
    <row r="918" spans="1:41" s="11" customFormat="1" ht="24" x14ac:dyDescent="0.25">
      <c r="A918" s="2">
        <v>917</v>
      </c>
      <c r="B918" s="7" t="s">
        <v>800</v>
      </c>
      <c r="C918" s="7" t="s">
        <v>100</v>
      </c>
      <c r="D918" s="7">
        <v>34</v>
      </c>
      <c r="E918" s="7">
        <v>34</v>
      </c>
      <c r="F918" s="8">
        <v>1</v>
      </c>
      <c r="G918" s="8">
        <v>1</v>
      </c>
      <c r="H918" s="7">
        <v>1</v>
      </c>
      <c r="I918" s="7">
        <v>1</v>
      </c>
      <c r="J918" s="9" t="s">
        <v>812</v>
      </c>
      <c r="K918" s="9" t="s">
        <v>55</v>
      </c>
      <c r="L918" s="9" t="s">
        <v>52</v>
      </c>
      <c r="M918" s="7">
        <f t="shared" si="67"/>
        <v>1</v>
      </c>
      <c r="N918" s="9" t="s">
        <v>33</v>
      </c>
      <c r="O918" s="7">
        <v>0</v>
      </c>
      <c r="P918" s="9" t="s">
        <v>63</v>
      </c>
      <c r="Q918" s="9" t="s">
        <v>38</v>
      </c>
      <c r="R918" s="9" t="s">
        <v>52</v>
      </c>
      <c r="S918" s="7"/>
      <c r="T918" s="7"/>
      <c r="U918" s="7"/>
      <c r="V918" s="7"/>
      <c r="W918" s="7"/>
      <c r="X918" s="7"/>
      <c r="Y918" s="7">
        <v>5</v>
      </c>
      <c r="Z918" s="7">
        <v>5</v>
      </c>
      <c r="AA918" s="7" t="s">
        <v>76</v>
      </c>
      <c r="AB918" s="7">
        <f t="shared" si="70"/>
        <v>1.6666666666666667</v>
      </c>
      <c r="AC918" s="7">
        <f t="shared" si="68"/>
        <v>1.6666666666666667</v>
      </c>
      <c r="AD918" s="7"/>
      <c r="AE918" s="7"/>
      <c r="AF918" s="7"/>
      <c r="AG918" s="7"/>
      <c r="AH918" s="7"/>
      <c r="AI918" s="7"/>
      <c r="AJ918" s="7"/>
      <c r="AK918" s="10" t="s">
        <v>2464</v>
      </c>
      <c r="AL918" s="9" t="s">
        <v>38</v>
      </c>
      <c r="AM918" s="7" t="s">
        <v>773</v>
      </c>
      <c r="AN918" s="7" t="s">
        <v>71</v>
      </c>
      <c r="AO918" s="15" t="s">
        <v>2589</v>
      </c>
    </row>
    <row r="919" spans="1:41" s="11" customFormat="1" ht="24" x14ac:dyDescent="0.25">
      <c r="A919" s="2">
        <v>918</v>
      </c>
      <c r="B919" s="7" t="s">
        <v>800</v>
      </c>
      <c r="C919" s="7" t="s">
        <v>269</v>
      </c>
      <c r="D919" s="7" t="s">
        <v>302</v>
      </c>
      <c r="E919" s="7">
        <v>16</v>
      </c>
      <c r="F919" s="8">
        <v>1</v>
      </c>
      <c r="G919" s="8">
        <v>2</v>
      </c>
      <c r="H919" s="7">
        <v>2</v>
      </c>
      <c r="I919" s="7">
        <v>2</v>
      </c>
      <c r="J919" s="9" t="s">
        <v>176</v>
      </c>
      <c r="K919" s="7">
        <v>3</v>
      </c>
      <c r="L919" s="7" t="s">
        <v>52</v>
      </c>
      <c r="M919" s="7">
        <f t="shared" si="67"/>
        <v>1</v>
      </c>
      <c r="N919" s="9" t="s">
        <v>177</v>
      </c>
      <c r="O919" s="7">
        <v>0</v>
      </c>
      <c r="P919" s="9" t="s">
        <v>63</v>
      </c>
      <c r="Q919" s="7" t="s">
        <v>38</v>
      </c>
      <c r="R919" s="7" t="s">
        <v>38</v>
      </c>
      <c r="S919" s="10" t="s">
        <v>1616</v>
      </c>
      <c r="T919" s="7">
        <v>5</v>
      </c>
      <c r="U919" s="7">
        <v>5</v>
      </c>
      <c r="V919" s="7">
        <v>210</v>
      </c>
      <c r="W919" s="7" t="s">
        <v>813</v>
      </c>
      <c r="X919" s="7"/>
      <c r="Y919" s="7"/>
      <c r="Z919" s="7"/>
      <c r="AA919" s="7"/>
      <c r="AB919" s="7">
        <f t="shared" si="70"/>
        <v>1.6666666666666667</v>
      </c>
      <c r="AC919" s="7">
        <f t="shared" si="68"/>
        <v>1.6666666666666667</v>
      </c>
      <c r="AD919" s="7"/>
      <c r="AE919" s="7"/>
      <c r="AF919" s="7"/>
      <c r="AG919" s="7"/>
      <c r="AH919" s="7"/>
      <c r="AI919" s="7"/>
      <c r="AJ919" s="7"/>
      <c r="AK919" s="7"/>
      <c r="AL919" s="9"/>
      <c r="AM919" s="7" t="s">
        <v>794</v>
      </c>
      <c r="AN919" s="7" t="s">
        <v>2850</v>
      </c>
      <c r="AO919" s="12"/>
    </row>
    <row r="920" spans="1:41" s="11" customFormat="1" ht="24" x14ac:dyDescent="0.25">
      <c r="A920" s="2">
        <v>919</v>
      </c>
      <c r="B920" s="7" t="s">
        <v>800</v>
      </c>
      <c r="C920" s="7" t="s">
        <v>78</v>
      </c>
      <c r="D920" s="7">
        <v>29</v>
      </c>
      <c r="E920" s="7">
        <v>29</v>
      </c>
      <c r="F920" s="8">
        <v>1</v>
      </c>
      <c r="G920" s="8">
        <v>1</v>
      </c>
      <c r="H920" s="7">
        <v>1</v>
      </c>
      <c r="I920" s="7">
        <v>1</v>
      </c>
      <c r="J920" s="9" t="s">
        <v>176</v>
      </c>
      <c r="K920" s="9" t="s">
        <v>189</v>
      </c>
      <c r="L920" s="7" t="s">
        <v>52</v>
      </c>
      <c r="M920" s="7">
        <f t="shared" si="67"/>
        <v>1</v>
      </c>
      <c r="N920" s="9" t="s">
        <v>177</v>
      </c>
      <c r="O920" s="7">
        <v>0</v>
      </c>
      <c r="P920" s="9" t="s">
        <v>63</v>
      </c>
      <c r="Q920" s="9" t="s">
        <v>38</v>
      </c>
      <c r="R920" s="9" t="s">
        <v>52</v>
      </c>
      <c r="S920" s="13" t="s">
        <v>1979</v>
      </c>
      <c r="T920" s="7">
        <v>7</v>
      </c>
      <c r="U920" s="7">
        <v>7</v>
      </c>
      <c r="V920" s="7">
        <v>290</v>
      </c>
      <c r="W920" s="7" t="s">
        <v>813</v>
      </c>
      <c r="X920" s="7"/>
      <c r="Y920" s="7"/>
      <c r="Z920" s="7"/>
      <c r="AA920" s="7"/>
      <c r="AB920" s="7">
        <f t="shared" si="70"/>
        <v>2.3333333333333335</v>
      </c>
      <c r="AC920" s="7">
        <f t="shared" si="68"/>
        <v>2.3333333333333335</v>
      </c>
      <c r="AD920" s="7"/>
      <c r="AE920" s="7"/>
      <c r="AF920" s="7"/>
      <c r="AG920" s="7"/>
      <c r="AH920" s="7"/>
      <c r="AI920" s="7"/>
      <c r="AJ920" s="7"/>
      <c r="AK920" s="7"/>
      <c r="AL920" s="9"/>
      <c r="AM920" s="7" t="s">
        <v>215</v>
      </c>
      <c r="AN920" s="7" t="s">
        <v>2850</v>
      </c>
      <c r="AO920" s="12"/>
    </row>
    <row r="921" spans="1:41" s="11" customFormat="1" x14ac:dyDescent="0.25">
      <c r="A921" s="2">
        <v>920</v>
      </c>
      <c r="B921" s="7" t="s">
        <v>800</v>
      </c>
      <c r="C921" s="7" t="s">
        <v>50</v>
      </c>
      <c r="D921" s="7">
        <v>56</v>
      </c>
      <c r="E921" s="7">
        <v>56</v>
      </c>
      <c r="F921" s="8">
        <v>1</v>
      </c>
      <c r="G921" s="8">
        <v>1</v>
      </c>
      <c r="H921" s="7">
        <v>1</v>
      </c>
      <c r="I921" s="7">
        <v>1</v>
      </c>
      <c r="J921" s="9" t="s">
        <v>176</v>
      </c>
      <c r="K921" s="7">
        <v>3</v>
      </c>
      <c r="L921" s="7" t="s">
        <v>52</v>
      </c>
      <c r="M921" s="7">
        <f t="shared" si="67"/>
        <v>1</v>
      </c>
      <c r="N921" s="9" t="s">
        <v>177</v>
      </c>
      <c r="O921" s="7">
        <v>0</v>
      </c>
      <c r="P921" s="9" t="s">
        <v>63</v>
      </c>
      <c r="Q921" s="7" t="s">
        <v>38</v>
      </c>
      <c r="R921" s="7" t="s">
        <v>52</v>
      </c>
      <c r="S921" s="7" t="s">
        <v>814</v>
      </c>
      <c r="T921" s="7"/>
      <c r="U921" s="7"/>
      <c r="V921" s="7"/>
      <c r="W921" s="7"/>
      <c r="X921" s="7"/>
      <c r="Y921" s="7">
        <v>20</v>
      </c>
      <c r="Z921" s="7">
        <v>20</v>
      </c>
      <c r="AA921" s="7" t="s">
        <v>569</v>
      </c>
      <c r="AB921" s="7">
        <f t="shared" si="70"/>
        <v>6.666666666666667</v>
      </c>
      <c r="AC921" s="7">
        <f t="shared" si="68"/>
        <v>6.666666666666667</v>
      </c>
      <c r="AD921" s="7"/>
      <c r="AE921" s="7"/>
      <c r="AF921" s="7"/>
      <c r="AG921" s="7"/>
      <c r="AH921" s="7"/>
      <c r="AI921" s="7"/>
      <c r="AJ921" s="7"/>
      <c r="AK921" s="7"/>
      <c r="AL921" s="9"/>
      <c r="AM921" s="7" t="s">
        <v>215</v>
      </c>
      <c r="AN921" s="7" t="s">
        <v>2850</v>
      </c>
      <c r="AO921" s="15" t="s">
        <v>2590</v>
      </c>
    </row>
    <row r="922" spans="1:41" s="11" customFormat="1" ht="24" x14ac:dyDescent="0.25">
      <c r="A922" s="2">
        <v>921</v>
      </c>
      <c r="B922" s="7" t="s">
        <v>800</v>
      </c>
      <c r="C922" s="7" t="s">
        <v>78</v>
      </c>
      <c r="D922" s="7">
        <v>8</v>
      </c>
      <c r="E922" s="7">
        <v>8</v>
      </c>
      <c r="F922" s="8">
        <v>1</v>
      </c>
      <c r="G922" s="8">
        <v>1</v>
      </c>
      <c r="H922" s="7">
        <v>1</v>
      </c>
      <c r="I922" s="7">
        <v>1</v>
      </c>
      <c r="J922" s="9" t="s">
        <v>176</v>
      </c>
      <c r="K922" s="9" t="s">
        <v>34</v>
      </c>
      <c r="L922" s="7" t="s">
        <v>52</v>
      </c>
      <c r="M922" s="7">
        <f t="shared" si="67"/>
        <v>1</v>
      </c>
      <c r="N922" s="9" t="s">
        <v>177</v>
      </c>
      <c r="O922" s="7">
        <v>0</v>
      </c>
      <c r="P922" s="9" t="s">
        <v>63</v>
      </c>
      <c r="Q922" s="9" t="s">
        <v>38</v>
      </c>
      <c r="R922" s="9" t="s">
        <v>38</v>
      </c>
      <c r="S922" s="13" t="s">
        <v>1980</v>
      </c>
      <c r="T922" s="7">
        <v>10</v>
      </c>
      <c r="U922" s="7">
        <v>10</v>
      </c>
      <c r="V922" s="7">
        <v>120</v>
      </c>
      <c r="W922" s="7" t="s">
        <v>83</v>
      </c>
      <c r="X922" s="7"/>
      <c r="Y922" s="7"/>
      <c r="Z922" s="7"/>
      <c r="AA922" s="7"/>
      <c r="AB922" s="7">
        <f t="shared" si="70"/>
        <v>3.3333333333333335</v>
      </c>
      <c r="AC922" s="7">
        <f t="shared" si="68"/>
        <v>3.3333333333333335</v>
      </c>
      <c r="AD922" s="7"/>
      <c r="AE922" s="7"/>
      <c r="AF922" s="7"/>
      <c r="AG922" s="7"/>
      <c r="AH922" s="7"/>
      <c r="AI922" s="7"/>
      <c r="AJ922" s="7"/>
      <c r="AK922" s="7" t="s">
        <v>252</v>
      </c>
      <c r="AL922" s="9"/>
      <c r="AM922" s="7" t="s">
        <v>71</v>
      </c>
      <c r="AN922" s="7" t="s">
        <v>71</v>
      </c>
      <c r="AO922" s="12"/>
    </row>
    <row r="923" spans="1:41" s="11" customFormat="1" ht="24" x14ac:dyDescent="0.25">
      <c r="A923" s="2">
        <v>922</v>
      </c>
      <c r="B923" s="7" t="s">
        <v>800</v>
      </c>
      <c r="C923" s="7" t="s">
        <v>78</v>
      </c>
      <c r="D923" s="7">
        <v>4</v>
      </c>
      <c r="E923" s="7">
        <v>4</v>
      </c>
      <c r="F923" s="8">
        <v>1</v>
      </c>
      <c r="G923" s="8">
        <v>1</v>
      </c>
      <c r="H923" s="7">
        <v>1</v>
      </c>
      <c r="I923" s="7">
        <v>1</v>
      </c>
      <c r="J923" s="9" t="s">
        <v>176</v>
      </c>
      <c r="K923" s="7">
        <v>3</v>
      </c>
      <c r="L923" s="7" t="s">
        <v>52</v>
      </c>
      <c r="M923" s="7">
        <f t="shared" si="67"/>
        <v>1</v>
      </c>
      <c r="N923" s="9" t="s">
        <v>177</v>
      </c>
      <c r="O923" s="7">
        <v>0</v>
      </c>
      <c r="P923" s="9" t="s">
        <v>63</v>
      </c>
      <c r="Q923" s="7" t="s">
        <v>38</v>
      </c>
      <c r="R923" s="7" t="s">
        <v>38</v>
      </c>
      <c r="S923" s="7" t="s">
        <v>815</v>
      </c>
      <c r="T923" s="7">
        <v>5</v>
      </c>
      <c r="U923" s="7">
        <v>5</v>
      </c>
      <c r="V923" s="7">
        <v>140</v>
      </c>
      <c r="W923" s="7" t="s">
        <v>239</v>
      </c>
      <c r="X923" s="7"/>
      <c r="Y923" s="7"/>
      <c r="Z923" s="7"/>
      <c r="AA923" s="7"/>
      <c r="AB923" s="7">
        <f t="shared" si="70"/>
        <v>1.6666666666666667</v>
      </c>
      <c r="AC923" s="7">
        <f t="shared" si="68"/>
        <v>1.6666666666666667</v>
      </c>
      <c r="AD923" s="7"/>
      <c r="AE923" s="7"/>
      <c r="AF923" s="7"/>
      <c r="AG923" s="7"/>
      <c r="AH923" s="7"/>
      <c r="AI923" s="7"/>
      <c r="AJ923" s="7"/>
      <c r="AK923" s="7"/>
      <c r="AL923" s="9"/>
      <c r="AM923" s="7" t="s">
        <v>71</v>
      </c>
      <c r="AN923" s="7" t="s">
        <v>71</v>
      </c>
      <c r="AO923" s="12"/>
    </row>
    <row r="924" spans="1:41" s="11" customFormat="1" x14ac:dyDescent="0.25">
      <c r="A924" s="2">
        <v>923</v>
      </c>
      <c r="B924" s="7" t="s">
        <v>800</v>
      </c>
      <c r="C924" s="7" t="s">
        <v>89</v>
      </c>
      <c r="D924" s="7" t="s">
        <v>816</v>
      </c>
      <c r="E924" s="7">
        <v>46</v>
      </c>
      <c r="F924" s="8">
        <v>2</v>
      </c>
      <c r="G924" s="8">
        <v>2</v>
      </c>
      <c r="H924" s="7" t="s">
        <v>87</v>
      </c>
      <c r="I924" s="7">
        <v>2</v>
      </c>
      <c r="J924" s="9" t="s">
        <v>176</v>
      </c>
      <c r="K924" s="9">
        <v>3</v>
      </c>
      <c r="L924" s="7" t="s">
        <v>52</v>
      </c>
      <c r="M924" s="7">
        <f t="shared" si="67"/>
        <v>2</v>
      </c>
      <c r="N924" s="9"/>
      <c r="O924" s="7"/>
      <c r="P924" s="9"/>
      <c r="Q924" s="7"/>
      <c r="R924" s="7"/>
      <c r="S924" s="7"/>
      <c r="T924" s="7"/>
      <c r="U924" s="7"/>
      <c r="V924" s="7"/>
      <c r="W924" s="7"/>
      <c r="X924" s="7">
        <v>3</v>
      </c>
      <c r="Y924" s="7"/>
      <c r="Z924" s="7"/>
      <c r="AA924" s="7"/>
      <c r="AB924" s="7">
        <f t="shared" si="70"/>
        <v>1</v>
      </c>
      <c r="AC924" s="7">
        <f t="shared" si="68"/>
        <v>1</v>
      </c>
      <c r="AD924" s="7"/>
      <c r="AE924" s="7"/>
      <c r="AF924" s="7"/>
      <c r="AG924" s="7"/>
      <c r="AH924" s="7"/>
      <c r="AI924" s="7"/>
      <c r="AJ924" s="7"/>
      <c r="AK924" s="7"/>
      <c r="AL924" s="9"/>
      <c r="AM924" s="7" t="s">
        <v>71</v>
      </c>
      <c r="AN924" s="7" t="s">
        <v>71</v>
      </c>
      <c r="AO924" s="12"/>
    </row>
    <row r="925" spans="1:41" s="11" customFormat="1" ht="24" x14ac:dyDescent="0.25">
      <c r="A925" s="2">
        <v>924</v>
      </c>
      <c r="B925" s="7" t="s">
        <v>817</v>
      </c>
      <c r="C925" s="7" t="s">
        <v>615</v>
      </c>
      <c r="D925" s="7" t="s">
        <v>818</v>
      </c>
      <c r="E925" s="7">
        <v>14</v>
      </c>
      <c r="F925" s="8">
        <v>1</v>
      </c>
      <c r="G925" s="8">
        <v>3</v>
      </c>
      <c r="H925" s="7">
        <v>3</v>
      </c>
      <c r="I925" s="7">
        <v>3</v>
      </c>
      <c r="J925" s="9" t="s">
        <v>77</v>
      </c>
      <c r="K925" s="7">
        <v>1</v>
      </c>
      <c r="L925" s="7" t="s">
        <v>38</v>
      </c>
      <c r="M925" s="7">
        <f t="shared" si="67"/>
        <v>0</v>
      </c>
      <c r="N925" s="9" t="s">
        <v>82</v>
      </c>
      <c r="O925" s="7">
        <v>0</v>
      </c>
      <c r="P925" s="9" t="s">
        <v>34</v>
      </c>
      <c r="Q925" s="7" t="s">
        <v>38</v>
      </c>
      <c r="R925" s="7" t="s">
        <v>38</v>
      </c>
      <c r="S925" s="10" t="s">
        <v>1981</v>
      </c>
      <c r="T925" s="7"/>
      <c r="U925" s="7"/>
      <c r="V925" s="7"/>
      <c r="W925" s="7"/>
      <c r="X925" s="7">
        <v>3</v>
      </c>
      <c r="Y925" s="7"/>
      <c r="Z925" s="7"/>
      <c r="AA925" s="7"/>
      <c r="AB925" s="7">
        <f t="shared" si="70"/>
        <v>1</v>
      </c>
      <c r="AC925" s="7">
        <f t="shared" si="68"/>
        <v>0</v>
      </c>
      <c r="AD925" s="7">
        <v>1</v>
      </c>
      <c r="AE925" s="7"/>
      <c r="AF925" s="7"/>
      <c r="AG925" s="7"/>
      <c r="AH925" s="7"/>
      <c r="AI925" s="7"/>
      <c r="AJ925" s="7"/>
      <c r="AK925" s="7"/>
      <c r="AL925" s="9"/>
      <c r="AM925" s="7" t="s">
        <v>42</v>
      </c>
      <c r="AN925" s="7" t="s">
        <v>42</v>
      </c>
      <c r="AO925" s="15" t="s">
        <v>2591</v>
      </c>
    </row>
    <row r="926" spans="1:41" s="11" customFormat="1" x14ac:dyDescent="0.25">
      <c r="A926" s="2">
        <v>925</v>
      </c>
      <c r="B926" s="7" t="s">
        <v>817</v>
      </c>
      <c r="C926" s="7" t="s">
        <v>89</v>
      </c>
      <c r="D926" s="7" t="s">
        <v>86</v>
      </c>
      <c r="E926" s="7">
        <v>4</v>
      </c>
      <c r="F926" s="8">
        <v>2</v>
      </c>
      <c r="G926" s="8">
        <v>2</v>
      </c>
      <c r="H926" s="7" t="s">
        <v>87</v>
      </c>
      <c r="I926" s="7">
        <v>2</v>
      </c>
      <c r="J926" s="9" t="s">
        <v>70</v>
      </c>
      <c r="K926" s="9">
        <v>1</v>
      </c>
      <c r="L926" s="7" t="s">
        <v>52</v>
      </c>
      <c r="M926" s="7">
        <f t="shared" si="67"/>
        <v>2</v>
      </c>
      <c r="N926" s="9"/>
      <c r="O926" s="7"/>
      <c r="P926" s="9"/>
      <c r="Q926" s="7"/>
      <c r="R926" s="7"/>
      <c r="S926" s="7"/>
      <c r="T926" s="7"/>
      <c r="U926" s="7"/>
      <c r="V926" s="7"/>
      <c r="W926" s="7"/>
      <c r="X926" s="7">
        <v>3</v>
      </c>
      <c r="Y926" s="7"/>
      <c r="Z926" s="7"/>
      <c r="AA926" s="7"/>
      <c r="AB926" s="7">
        <f t="shared" si="70"/>
        <v>1</v>
      </c>
      <c r="AC926" s="7">
        <f t="shared" si="68"/>
        <v>1</v>
      </c>
      <c r="AD926" s="7"/>
      <c r="AE926" s="7"/>
      <c r="AF926" s="7"/>
      <c r="AG926" s="7"/>
      <c r="AH926" s="7"/>
      <c r="AI926" s="7"/>
      <c r="AJ926" s="7"/>
      <c r="AK926" s="7"/>
      <c r="AL926" s="9"/>
      <c r="AM926" s="7" t="s">
        <v>71</v>
      </c>
      <c r="AN926" s="7" t="s">
        <v>71</v>
      </c>
      <c r="AO926" s="12"/>
    </row>
    <row r="927" spans="1:41" s="11" customFormat="1" x14ac:dyDescent="0.25">
      <c r="A927" s="2">
        <v>926</v>
      </c>
      <c r="B927" s="7" t="s">
        <v>817</v>
      </c>
      <c r="C927" s="7" t="s">
        <v>50</v>
      </c>
      <c r="D927" s="7">
        <v>4</v>
      </c>
      <c r="E927" s="7">
        <v>4</v>
      </c>
      <c r="F927" s="8">
        <v>1</v>
      </c>
      <c r="G927" s="8">
        <v>1</v>
      </c>
      <c r="H927" s="7">
        <v>1</v>
      </c>
      <c r="I927" s="7">
        <v>1</v>
      </c>
      <c r="J927" s="9" t="s">
        <v>35</v>
      </c>
      <c r="K927" s="7">
        <v>2</v>
      </c>
      <c r="L927" s="7" t="s">
        <v>52</v>
      </c>
      <c r="M927" s="7">
        <f t="shared" si="67"/>
        <v>1</v>
      </c>
      <c r="N927" s="9" t="s">
        <v>36</v>
      </c>
      <c r="O927" s="7">
        <v>0</v>
      </c>
      <c r="P927" s="9" t="s">
        <v>63</v>
      </c>
      <c r="Q927" s="7" t="s">
        <v>38</v>
      </c>
      <c r="R927" s="7" t="s">
        <v>52</v>
      </c>
      <c r="S927" s="7"/>
      <c r="T927" s="7"/>
      <c r="U927" s="7"/>
      <c r="V927" s="7"/>
      <c r="W927" s="7"/>
      <c r="X927" s="7"/>
      <c r="Y927" s="7">
        <v>10</v>
      </c>
      <c r="Z927" s="7">
        <v>10</v>
      </c>
      <c r="AA927" s="7" t="s">
        <v>76</v>
      </c>
      <c r="AB927" s="7">
        <f t="shared" si="70"/>
        <v>3.3333333333333335</v>
      </c>
      <c r="AC927" s="7">
        <f t="shared" si="68"/>
        <v>3.3333333333333335</v>
      </c>
      <c r="AD927" s="7"/>
      <c r="AE927" s="7"/>
      <c r="AF927" s="7"/>
      <c r="AG927" s="7"/>
      <c r="AH927" s="7"/>
      <c r="AI927" s="7"/>
      <c r="AJ927" s="7"/>
      <c r="AK927" s="7"/>
      <c r="AL927" s="9"/>
      <c r="AM927" s="7" t="s">
        <v>71</v>
      </c>
      <c r="AN927" s="7" t="s">
        <v>71</v>
      </c>
      <c r="AO927" s="12"/>
    </row>
    <row r="928" spans="1:41" s="11" customFormat="1" x14ac:dyDescent="0.25">
      <c r="A928" s="2">
        <v>927</v>
      </c>
      <c r="B928" s="7" t="s">
        <v>817</v>
      </c>
      <c r="C928" s="7" t="s">
        <v>669</v>
      </c>
      <c r="D928" s="7">
        <v>23</v>
      </c>
      <c r="E928" s="7">
        <v>23</v>
      </c>
      <c r="F928" s="8">
        <v>1</v>
      </c>
      <c r="G928" s="8">
        <v>1</v>
      </c>
      <c r="H928" s="7">
        <v>1</v>
      </c>
      <c r="I928" s="7">
        <v>1</v>
      </c>
      <c r="J928" s="9" t="s">
        <v>35</v>
      </c>
      <c r="K928" s="9">
        <v>2</v>
      </c>
      <c r="L928" s="7" t="s">
        <v>52</v>
      </c>
      <c r="M928" s="7">
        <f t="shared" si="67"/>
        <v>1</v>
      </c>
      <c r="N928" s="9" t="s">
        <v>34</v>
      </c>
      <c r="O928" s="7">
        <v>1</v>
      </c>
      <c r="P928" s="9" t="s">
        <v>33</v>
      </c>
      <c r="Q928" s="9" t="s">
        <v>52</v>
      </c>
      <c r="R928" s="9" t="s">
        <v>38</v>
      </c>
      <c r="S928" s="7"/>
      <c r="T928" s="7"/>
      <c r="U928" s="7"/>
      <c r="V928" s="7"/>
      <c r="W928" s="7"/>
      <c r="X928" s="7">
        <v>5</v>
      </c>
      <c r="Y928" s="7"/>
      <c r="Z928" s="7"/>
      <c r="AA928" s="7"/>
      <c r="AB928" s="7">
        <f t="shared" si="70"/>
        <v>1.6666666666666667</v>
      </c>
      <c r="AC928" s="7">
        <f t="shared" si="68"/>
        <v>1.6666666666666667</v>
      </c>
      <c r="AD928" s="7">
        <v>1</v>
      </c>
      <c r="AE928" s="7"/>
      <c r="AF928" s="7" t="s">
        <v>669</v>
      </c>
      <c r="AG928" s="7" t="s">
        <v>819</v>
      </c>
      <c r="AH928" s="7"/>
      <c r="AI928" s="7"/>
      <c r="AJ928" s="10" t="s">
        <v>2360</v>
      </c>
      <c r="AK928" s="7"/>
      <c r="AL928" s="9"/>
      <c r="AM928" s="7" t="s">
        <v>67</v>
      </c>
      <c r="AN928" s="7" t="s">
        <v>2847</v>
      </c>
      <c r="AO928" s="12"/>
    </row>
    <row r="929" spans="1:41" s="11" customFormat="1" x14ac:dyDescent="0.25">
      <c r="A929" s="2">
        <v>928</v>
      </c>
      <c r="B929" s="7" t="s">
        <v>817</v>
      </c>
      <c r="C929" s="7" t="s">
        <v>820</v>
      </c>
      <c r="D929" s="7">
        <v>9</v>
      </c>
      <c r="E929" s="7">
        <v>9</v>
      </c>
      <c r="F929" s="8">
        <v>1</v>
      </c>
      <c r="G929" s="8">
        <v>1</v>
      </c>
      <c r="H929" s="7">
        <v>1</v>
      </c>
      <c r="I929" s="7">
        <v>1</v>
      </c>
      <c r="J929" s="9" t="s">
        <v>35</v>
      </c>
      <c r="K929" s="7">
        <v>1</v>
      </c>
      <c r="L929" s="7" t="s">
        <v>52</v>
      </c>
      <c r="M929" s="7">
        <f t="shared" si="67"/>
        <v>1</v>
      </c>
      <c r="N929" s="9" t="s">
        <v>34</v>
      </c>
      <c r="O929" s="7">
        <v>1</v>
      </c>
      <c r="P929" s="9" t="s">
        <v>33</v>
      </c>
      <c r="Q929" s="7" t="s">
        <v>38</v>
      </c>
      <c r="R929" s="7" t="s">
        <v>38</v>
      </c>
      <c r="S929" s="10" t="s">
        <v>1982</v>
      </c>
      <c r="T929" s="7"/>
      <c r="U929" s="7"/>
      <c r="V929" s="7"/>
      <c r="W929" s="7"/>
      <c r="X929" s="7">
        <v>3</v>
      </c>
      <c r="Y929" s="7"/>
      <c r="Z929" s="7"/>
      <c r="AA929" s="7"/>
      <c r="AB929" s="7">
        <f t="shared" si="70"/>
        <v>1</v>
      </c>
      <c r="AC929" s="7">
        <f t="shared" si="68"/>
        <v>1</v>
      </c>
      <c r="AD929" s="7"/>
      <c r="AE929" s="7"/>
      <c r="AF929" s="7"/>
      <c r="AG929" s="7"/>
      <c r="AH929" s="7"/>
      <c r="AI929" s="7"/>
      <c r="AJ929" s="7"/>
      <c r="AK929" s="7"/>
      <c r="AL929" s="9"/>
      <c r="AM929" s="7" t="s">
        <v>67</v>
      </c>
      <c r="AN929" s="7" t="s">
        <v>2847</v>
      </c>
      <c r="AO929" s="15"/>
    </row>
    <row r="930" spans="1:41" s="11" customFormat="1" x14ac:dyDescent="0.25">
      <c r="A930" s="2">
        <v>929</v>
      </c>
      <c r="B930" s="7" t="s">
        <v>817</v>
      </c>
      <c r="C930" s="7" t="s">
        <v>89</v>
      </c>
      <c r="D930" s="7" t="s">
        <v>821</v>
      </c>
      <c r="E930" s="7">
        <f>37+16+18+10+4</f>
        <v>85</v>
      </c>
      <c r="F930" s="8">
        <v>5</v>
      </c>
      <c r="G930" s="8">
        <v>10</v>
      </c>
      <c r="H930" s="7" t="s">
        <v>822</v>
      </c>
      <c r="I930" s="7">
        <v>10</v>
      </c>
      <c r="J930" s="9" t="s">
        <v>35</v>
      </c>
      <c r="K930" s="9">
        <v>2</v>
      </c>
      <c r="L930" s="7" t="s">
        <v>52</v>
      </c>
      <c r="M930" s="7">
        <f t="shared" si="67"/>
        <v>5</v>
      </c>
      <c r="N930" s="9"/>
      <c r="O930" s="7"/>
      <c r="P930" s="9"/>
      <c r="Q930" s="7"/>
      <c r="R930" s="7"/>
      <c r="S930" s="7"/>
      <c r="T930" s="7"/>
      <c r="U930" s="7"/>
      <c r="V930" s="7"/>
      <c r="W930" s="7"/>
      <c r="X930" s="7">
        <v>3</v>
      </c>
      <c r="Y930" s="7"/>
      <c r="Z930" s="7"/>
      <c r="AA930" s="7"/>
      <c r="AB930" s="7">
        <f t="shared" si="70"/>
        <v>1</v>
      </c>
      <c r="AC930" s="7">
        <f t="shared" si="68"/>
        <v>1</v>
      </c>
      <c r="AD930" s="7"/>
      <c r="AE930" s="7"/>
      <c r="AF930" s="7"/>
      <c r="AG930" s="7"/>
      <c r="AH930" s="7"/>
      <c r="AI930" s="7"/>
      <c r="AJ930" s="10" t="s">
        <v>2360</v>
      </c>
      <c r="AK930" s="7"/>
      <c r="AL930" s="9"/>
      <c r="AM930" s="7" t="s">
        <v>71</v>
      </c>
      <c r="AN930" s="7" t="s">
        <v>71</v>
      </c>
      <c r="AO930" s="12"/>
    </row>
    <row r="931" spans="1:41" s="11" customFormat="1" ht="24" x14ac:dyDescent="0.25">
      <c r="A931" s="2">
        <v>930</v>
      </c>
      <c r="B931" s="7" t="s">
        <v>817</v>
      </c>
      <c r="C931" s="7" t="s">
        <v>823</v>
      </c>
      <c r="D931" s="7" t="s">
        <v>1487</v>
      </c>
      <c r="E931" s="7">
        <v>148</v>
      </c>
      <c r="F931" s="8">
        <v>1</v>
      </c>
      <c r="G931" s="8">
        <v>2</v>
      </c>
      <c r="H931" s="7" t="s">
        <v>87</v>
      </c>
      <c r="I931" s="7">
        <v>2</v>
      </c>
      <c r="J931" s="9" t="s">
        <v>219</v>
      </c>
      <c r="K931" s="7">
        <v>1</v>
      </c>
      <c r="L931" s="7" t="s">
        <v>52</v>
      </c>
      <c r="M931" s="7">
        <f t="shared" si="67"/>
        <v>1</v>
      </c>
      <c r="N931" s="9" t="s">
        <v>34</v>
      </c>
      <c r="O931" s="7">
        <v>0</v>
      </c>
      <c r="P931" s="9" t="s">
        <v>63</v>
      </c>
      <c r="Q931" s="7" t="s">
        <v>38</v>
      </c>
      <c r="R931" s="7" t="s">
        <v>38</v>
      </c>
      <c r="S931" s="10" t="s">
        <v>1983</v>
      </c>
      <c r="T931" s="7"/>
      <c r="U931" s="7"/>
      <c r="V931" s="7"/>
      <c r="W931" s="7"/>
      <c r="X931" s="7">
        <v>3</v>
      </c>
      <c r="Y931" s="7">
        <v>15</v>
      </c>
      <c r="Z931" s="7">
        <v>15</v>
      </c>
      <c r="AA931" s="7" t="s">
        <v>542</v>
      </c>
      <c r="AB931" s="7">
        <f t="shared" si="70"/>
        <v>6</v>
      </c>
      <c r="AC931" s="7">
        <f t="shared" si="68"/>
        <v>6</v>
      </c>
      <c r="AD931" s="7"/>
      <c r="AE931" s="7"/>
      <c r="AF931" s="7"/>
      <c r="AG931" s="7"/>
      <c r="AH931" s="7"/>
      <c r="AI931" s="7"/>
      <c r="AJ931" s="7"/>
      <c r="AK931" s="7"/>
      <c r="AL931" s="9"/>
      <c r="AM931" s="7" t="s">
        <v>636</v>
      </c>
      <c r="AN931" s="7" t="s">
        <v>662</v>
      </c>
      <c r="AO931" s="12"/>
    </row>
    <row r="932" spans="1:41" s="11" customFormat="1" x14ac:dyDescent="0.25">
      <c r="A932" s="2">
        <v>931</v>
      </c>
      <c r="B932" s="7" t="s">
        <v>817</v>
      </c>
      <c r="C932" s="7" t="s">
        <v>100</v>
      </c>
      <c r="D932" s="7">
        <v>1</v>
      </c>
      <c r="E932" s="7">
        <v>1</v>
      </c>
      <c r="F932" s="8">
        <v>1</v>
      </c>
      <c r="G932" s="8">
        <v>1</v>
      </c>
      <c r="H932" s="7">
        <v>1</v>
      </c>
      <c r="I932" s="7">
        <v>1</v>
      </c>
      <c r="J932" s="9" t="s">
        <v>176</v>
      </c>
      <c r="K932" s="9">
        <v>3</v>
      </c>
      <c r="L932" s="7" t="s">
        <v>52</v>
      </c>
      <c r="M932" s="7">
        <f t="shared" si="67"/>
        <v>1</v>
      </c>
      <c r="N932" s="9"/>
      <c r="O932" s="7"/>
      <c r="P932" s="9"/>
      <c r="Q932" s="7"/>
      <c r="R932" s="7"/>
      <c r="S932" s="7"/>
      <c r="T932" s="7"/>
      <c r="U932" s="7"/>
      <c r="V932" s="7"/>
      <c r="W932" s="7"/>
      <c r="X932" s="7">
        <v>3</v>
      </c>
      <c r="Y932" s="7"/>
      <c r="Z932" s="7"/>
      <c r="AA932" s="7"/>
      <c r="AB932" s="7">
        <f t="shared" si="70"/>
        <v>1</v>
      </c>
      <c r="AC932" s="7">
        <f t="shared" si="68"/>
        <v>1</v>
      </c>
      <c r="AD932" s="7"/>
      <c r="AE932" s="7"/>
      <c r="AF932" s="7"/>
      <c r="AG932" s="7"/>
      <c r="AH932" s="7"/>
      <c r="AI932" s="7"/>
      <c r="AJ932" s="7"/>
      <c r="AK932" s="7"/>
      <c r="AL932" s="9"/>
      <c r="AM932" s="7" t="s">
        <v>71</v>
      </c>
      <c r="AN932" s="7" t="s">
        <v>71</v>
      </c>
      <c r="AO932" s="12"/>
    </row>
    <row r="933" spans="1:41" s="11" customFormat="1" x14ac:dyDescent="0.25">
      <c r="A933" s="2">
        <v>932</v>
      </c>
      <c r="B933" s="7" t="s">
        <v>655</v>
      </c>
      <c r="C933" s="7" t="s">
        <v>100</v>
      </c>
      <c r="D933" s="7">
        <v>5</v>
      </c>
      <c r="E933" s="7">
        <v>5</v>
      </c>
      <c r="F933" s="8">
        <v>1</v>
      </c>
      <c r="G933" s="8">
        <v>1</v>
      </c>
      <c r="H933" s="7">
        <v>1</v>
      </c>
      <c r="I933" s="7">
        <v>1</v>
      </c>
      <c r="J933" s="9" t="s">
        <v>35</v>
      </c>
      <c r="K933" s="7"/>
      <c r="L933" s="7" t="s">
        <v>52</v>
      </c>
      <c r="M933" s="7">
        <f t="shared" si="67"/>
        <v>1</v>
      </c>
      <c r="N933" s="9"/>
      <c r="O933" s="7"/>
      <c r="P933" s="9"/>
      <c r="Q933" s="7" t="s">
        <v>38</v>
      </c>
      <c r="R933" s="7" t="s">
        <v>38</v>
      </c>
      <c r="S933" s="10" t="s">
        <v>1984</v>
      </c>
      <c r="T933" s="7"/>
      <c r="U933" s="7"/>
      <c r="V933" s="7"/>
      <c r="W933" s="7"/>
      <c r="X933" s="7">
        <v>3</v>
      </c>
      <c r="Y933" s="7"/>
      <c r="Z933" s="7"/>
      <c r="AA933" s="7"/>
      <c r="AB933" s="7">
        <f t="shared" si="70"/>
        <v>1</v>
      </c>
      <c r="AC933" s="7">
        <f t="shared" si="68"/>
        <v>1</v>
      </c>
      <c r="AD933" s="7"/>
      <c r="AE933" s="7"/>
      <c r="AF933" s="7"/>
      <c r="AG933" s="7"/>
      <c r="AH933" s="7"/>
      <c r="AI933" s="10" t="s">
        <v>2310</v>
      </c>
      <c r="AJ933" s="7"/>
      <c r="AK933" s="10" t="s">
        <v>2431</v>
      </c>
      <c r="AL933" s="9"/>
      <c r="AM933" s="7" t="s">
        <v>71</v>
      </c>
      <c r="AN933" s="7" t="s">
        <v>71</v>
      </c>
      <c r="AO933" s="12"/>
    </row>
    <row r="934" spans="1:41" s="11" customFormat="1" ht="24" x14ac:dyDescent="0.25">
      <c r="A934" s="2">
        <v>933</v>
      </c>
      <c r="B934" s="7" t="s">
        <v>655</v>
      </c>
      <c r="C934" s="7" t="s">
        <v>78</v>
      </c>
      <c r="D934" s="7">
        <v>6</v>
      </c>
      <c r="E934" s="7">
        <v>6</v>
      </c>
      <c r="F934" s="8">
        <v>1</v>
      </c>
      <c r="G934" s="8">
        <v>1</v>
      </c>
      <c r="H934" s="7">
        <v>1</v>
      </c>
      <c r="I934" s="7">
        <v>1</v>
      </c>
      <c r="J934" s="9" t="s">
        <v>35</v>
      </c>
      <c r="K934" s="9">
        <v>1</v>
      </c>
      <c r="L934" s="7" t="s">
        <v>52</v>
      </c>
      <c r="M934" s="7">
        <f t="shared" si="67"/>
        <v>1</v>
      </c>
      <c r="N934" s="9" t="s">
        <v>36</v>
      </c>
      <c r="O934" s="7">
        <v>1</v>
      </c>
      <c r="P934" s="9" t="s">
        <v>33</v>
      </c>
      <c r="Q934" s="9" t="s">
        <v>38</v>
      </c>
      <c r="R934" s="9" t="s">
        <v>38</v>
      </c>
      <c r="S934" s="7"/>
      <c r="T934" s="7">
        <v>5</v>
      </c>
      <c r="U934" s="7">
        <v>5</v>
      </c>
      <c r="V934" s="7">
        <v>110</v>
      </c>
      <c r="W934" s="7" t="s">
        <v>570</v>
      </c>
      <c r="X934" s="7"/>
      <c r="Y934" s="7"/>
      <c r="Z934" s="7"/>
      <c r="AA934" s="7"/>
      <c r="AB934" s="7">
        <f t="shared" si="70"/>
        <v>1.6666666666666667</v>
      </c>
      <c r="AC934" s="7">
        <f t="shared" si="68"/>
        <v>1.6666666666666667</v>
      </c>
      <c r="AD934" s="7"/>
      <c r="AE934" s="7"/>
      <c r="AF934" s="7"/>
      <c r="AG934" s="7"/>
      <c r="AH934" s="7"/>
      <c r="AI934" s="7"/>
      <c r="AJ934" s="10" t="s">
        <v>2374</v>
      </c>
      <c r="AK934" s="7"/>
      <c r="AL934" s="9"/>
      <c r="AM934" s="7" t="s">
        <v>71</v>
      </c>
      <c r="AN934" s="7" t="s">
        <v>71</v>
      </c>
      <c r="AO934" s="12"/>
    </row>
    <row r="935" spans="1:41" s="11" customFormat="1" x14ac:dyDescent="0.25">
      <c r="A935" s="2">
        <v>934</v>
      </c>
      <c r="B935" s="7" t="s">
        <v>655</v>
      </c>
      <c r="C935" s="7" t="s">
        <v>89</v>
      </c>
      <c r="D935" s="7" t="s">
        <v>146</v>
      </c>
      <c r="E935" s="7">
        <v>5</v>
      </c>
      <c r="F935" s="8">
        <v>2</v>
      </c>
      <c r="G935" s="8">
        <v>2</v>
      </c>
      <c r="H935" s="7" t="s">
        <v>87</v>
      </c>
      <c r="I935" s="7">
        <v>2</v>
      </c>
      <c r="J935" s="9" t="s">
        <v>35</v>
      </c>
      <c r="K935" s="7">
        <v>2</v>
      </c>
      <c r="L935" s="7" t="s">
        <v>52</v>
      </c>
      <c r="M935" s="7">
        <f t="shared" si="67"/>
        <v>2</v>
      </c>
      <c r="N935" s="9"/>
      <c r="O935" s="7"/>
      <c r="P935" s="9"/>
      <c r="Q935" s="7"/>
      <c r="R935" s="7"/>
      <c r="S935" s="7"/>
      <c r="T935" s="7"/>
      <c r="U935" s="7"/>
      <c r="V935" s="7"/>
      <c r="W935" s="7"/>
      <c r="X935" s="7">
        <v>3</v>
      </c>
      <c r="Y935" s="7"/>
      <c r="Z935" s="7"/>
      <c r="AA935" s="7"/>
      <c r="AB935" s="7">
        <f t="shared" si="70"/>
        <v>1</v>
      </c>
      <c r="AC935" s="7">
        <f t="shared" si="68"/>
        <v>1</v>
      </c>
      <c r="AD935" s="7"/>
      <c r="AE935" s="7"/>
      <c r="AF935" s="7"/>
      <c r="AG935" s="7"/>
      <c r="AH935" s="7"/>
      <c r="AI935" s="7"/>
      <c r="AJ935" s="7"/>
      <c r="AK935" s="7"/>
      <c r="AL935" s="9"/>
      <c r="AM935" s="7" t="s">
        <v>71</v>
      </c>
      <c r="AN935" s="7" t="s">
        <v>71</v>
      </c>
      <c r="AO935" s="12"/>
    </row>
    <row r="936" spans="1:41" s="11" customFormat="1" x14ac:dyDescent="0.25">
      <c r="A936" s="2">
        <v>935</v>
      </c>
      <c r="B936" s="7" t="s">
        <v>655</v>
      </c>
      <c r="C936" s="7" t="s">
        <v>78</v>
      </c>
      <c r="D936" s="7">
        <v>22</v>
      </c>
      <c r="E936" s="7">
        <v>22</v>
      </c>
      <c r="F936" s="8">
        <v>1</v>
      </c>
      <c r="G936" s="8">
        <v>1</v>
      </c>
      <c r="H936" s="7">
        <v>1</v>
      </c>
      <c r="I936" s="7">
        <v>1</v>
      </c>
      <c r="J936" s="9" t="s">
        <v>176</v>
      </c>
      <c r="K936" s="9">
        <v>3</v>
      </c>
      <c r="L936" s="7" t="s">
        <v>52</v>
      </c>
      <c r="M936" s="7">
        <f t="shared" si="67"/>
        <v>1</v>
      </c>
      <c r="N936" s="9" t="s">
        <v>177</v>
      </c>
      <c r="O936" s="7">
        <v>0</v>
      </c>
      <c r="P936" s="9" t="s">
        <v>63</v>
      </c>
      <c r="Q936" s="9" t="s">
        <v>38</v>
      </c>
      <c r="R936" s="9" t="s">
        <v>38</v>
      </c>
      <c r="S936" s="13" t="s">
        <v>1985</v>
      </c>
      <c r="T936" s="7">
        <v>6</v>
      </c>
      <c r="U936" s="7">
        <v>6</v>
      </c>
      <c r="V936" s="7">
        <v>230</v>
      </c>
      <c r="W936" s="7" t="s">
        <v>79</v>
      </c>
      <c r="X936" s="7"/>
      <c r="Y936" s="7"/>
      <c r="Z936" s="7"/>
      <c r="AA936" s="7"/>
      <c r="AB936" s="7">
        <f t="shared" si="70"/>
        <v>2</v>
      </c>
      <c r="AC936" s="7">
        <f t="shared" si="68"/>
        <v>2</v>
      </c>
      <c r="AD936" s="7"/>
      <c r="AE936" s="7"/>
      <c r="AF936" s="7"/>
      <c r="AG936" s="7"/>
      <c r="AH936" s="7"/>
      <c r="AI936" s="7"/>
      <c r="AJ936" s="7"/>
      <c r="AK936" s="7" t="s">
        <v>252</v>
      </c>
      <c r="AL936" s="9"/>
      <c r="AM936" s="7" t="s">
        <v>824</v>
      </c>
      <c r="AN936" s="7" t="s">
        <v>2848</v>
      </c>
      <c r="AO936" s="12"/>
    </row>
    <row r="937" spans="1:41" s="11" customFormat="1" ht="24" x14ac:dyDescent="0.25">
      <c r="A937" s="2">
        <v>936</v>
      </c>
      <c r="B937" s="7" t="s">
        <v>644</v>
      </c>
      <c r="C937" s="7" t="s">
        <v>309</v>
      </c>
      <c r="D937" s="7" t="s">
        <v>825</v>
      </c>
      <c r="E937" s="7">
        <f>19+11</f>
        <v>30</v>
      </c>
      <c r="F937" s="8">
        <v>1</v>
      </c>
      <c r="G937" s="8">
        <v>4</v>
      </c>
      <c r="H937" s="7" t="s">
        <v>91</v>
      </c>
      <c r="I937" s="7">
        <v>4</v>
      </c>
      <c r="J937" s="9" t="s">
        <v>176</v>
      </c>
      <c r="K937" s="7">
        <v>3</v>
      </c>
      <c r="L937" s="7" t="s">
        <v>52</v>
      </c>
      <c r="M937" s="7">
        <f t="shared" si="67"/>
        <v>1</v>
      </c>
      <c r="N937" s="9" t="s">
        <v>177</v>
      </c>
      <c r="O937" s="7">
        <v>0</v>
      </c>
      <c r="P937" s="9" t="s">
        <v>63</v>
      </c>
      <c r="Q937" s="7" t="s">
        <v>38</v>
      </c>
      <c r="R937" s="7" t="s">
        <v>38</v>
      </c>
      <c r="S937" s="10" t="s">
        <v>1986</v>
      </c>
      <c r="T937" s="7"/>
      <c r="U937" s="7"/>
      <c r="V937" s="7"/>
      <c r="W937" s="7"/>
      <c r="X937" s="7">
        <v>3</v>
      </c>
      <c r="Y937" s="7"/>
      <c r="Z937" s="7"/>
      <c r="AA937" s="7"/>
      <c r="AB937" s="7">
        <f t="shared" si="70"/>
        <v>1</v>
      </c>
      <c r="AC937" s="7">
        <f t="shared" si="68"/>
        <v>1</v>
      </c>
      <c r="AD937" s="7"/>
      <c r="AE937" s="7">
        <v>1</v>
      </c>
      <c r="AF937" s="7"/>
      <c r="AG937" s="7" t="s">
        <v>826</v>
      </c>
      <c r="AH937" s="7"/>
      <c r="AI937" s="7"/>
      <c r="AJ937" s="7"/>
      <c r="AK937" s="7"/>
      <c r="AL937" s="9"/>
      <c r="AM937" s="7" t="s">
        <v>71</v>
      </c>
      <c r="AN937" s="7" t="s">
        <v>71</v>
      </c>
      <c r="AO937" s="12"/>
    </row>
    <row r="938" spans="1:41" s="11" customFormat="1" x14ac:dyDescent="0.25">
      <c r="A938" s="2">
        <v>937</v>
      </c>
      <c r="B938" s="7" t="s">
        <v>644</v>
      </c>
      <c r="C938" s="7" t="s">
        <v>89</v>
      </c>
      <c r="D938" s="7" t="s">
        <v>827</v>
      </c>
      <c r="E938" s="7">
        <v>14</v>
      </c>
      <c r="F938" s="8">
        <v>2</v>
      </c>
      <c r="G938" s="8">
        <v>2</v>
      </c>
      <c r="H938" s="7" t="s">
        <v>87</v>
      </c>
      <c r="I938" s="7">
        <v>2</v>
      </c>
      <c r="J938" s="9" t="s">
        <v>176</v>
      </c>
      <c r="K938" s="9">
        <v>3</v>
      </c>
      <c r="L938" s="7" t="s">
        <v>52</v>
      </c>
      <c r="M938" s="7">
        <f t="shared" si="67"/>
        <v>2</v>
      </c>
      <c r="N938" s="9"/>
      <c r="O938" s="7"/>
      <c r="P938" s="9"/>
      <c r="Q938" s="7"/>
      <c r="R938" s="7"/>
      <c r="S938" s="7"/>
      <c r="T938" s="7"/>
      <c r="U938" s="7"/>
      <c r="V938" s="7"/>
      <c r="W938" s="7"/>
      <c r="X938" s="7">
        <v>3</v>
      </c>
      <c r="Y938" s="7"/>
      <c r="Z938" s="7"/>
      <c r="AA938" s="7"/>
      <c r="AB938" s="7">
        <f t="shared" si="70"/>
        <v>1</v>
      </c>
      <c r="AC938" s="7">
        <f t="shared" si="68"/>
        <v>1</v>
      </c>
      <c r="AD938" s="7"/>
      <c r="AE938" s="7"/>
      <c r="AF938" s="7"/>
      <c r="AG938" s="7"/>
      <c r="AH938" s="7"/>
      <c r="AI938" s="7"/>
      <c r="AJ938" s="7"/>
      <c r="AK938" s="7"/>
      <c r="AL938" s="9"/>
      <c r="AM938" s="7" t="s">
        <v>71</v>
      </c>
      <c r="AN938" s="7" t="s">
        <v>71</v>
      </c>
      <c r="AO938" s="12"/>
    </row>
    <row r="939" spans="1:41" s="11" customFormat="1" x14ac:dyDescent="0.25">
      <c r="A939" s="2">
        <v>938</v>
      </c>
      <c r="B939" s="7" t="s">
        <v>644</v>
      </c>
      <c r="C939" s="7" t="s">
        <v>100</v>
      </c>
      <c r="D939" s="7">
        <v>1</v>
      </c>
      <c r="E939" s="7">
        <v>1</v>
      </c>
      <c r="F939" s="8">
        <v>1</v>
      </c>
      <c r="G939" s="8">
        <v>1</v>
      </c>
      <c r="H939" s="7">
        <v>1</v>
      </c>
      <c r="I939" s="7">
        <v>1</v>
      </c>
      <c r="J939" s="9" t="s">
        <v>176</v>
      </c>
      <c r="K939" s="7">
        <v>5</v>
      </c>
      <c r="L939" s="7" t="s">
        <v>52</v>
      </c>
      <c r="M939" s="7">
        <f t="shared" si="67"/>
        <v>1</v>
      </c>
      <c r="N939" s="9"/>
      <c r="O939" s="7"/>
      <c r="P939" s="9"/>
      <c r="Q939" s="7"/>
      <c r="R939" s="7"/>
      <c r="S939" s="7"/>
      <c r="T939" s="7"/>
      <c r="U939" s="7"/>
      <c r="V939" s="7"/>
      <c r="W939" s="7"/>
      <c r="X939" s="7">
        <v>3</v>
      </c>
      <c r="Y939" s="7"/>
      <c r="Z939" s="7"/>
      <c r="AA939" s="7"/>
      <c r="AB939" s="7">
        <f t="shared" si="70"/>
        <v>1</v>
      </c>
      <c r="AC939" s="7">
        <f t="shared" si="68"/>
        <v>1</v>
      </c>
      <c r="AD939" s="7"/>
      <c r="AE939" s="7"/>
      <c r="AF939" s="7"/>
      <c r="AG939" s="7"/>
      <c r="AH939" s="7"/>
      <c r="AI939" s="7"/>
      <c r="AJ939" s="7"/>
      <c r="AK939" s="7"/>
      <c r="AL939" s="9"/>
      <c r="AM939" s="7" t="s">
        <v>71</v>
      </c>
      <c r="AN939" s="7" t="s">
        <v>71</v>
      </c>
      <c r="AO939" s="12"/>
    </row>
    <row r="940" spans="1:41" s="11" customFormat="1" ht="24" x14ac:dyDescent="0.25">
      <c r="A940" s="2">
        <v>939</v>
      </c>
      <c r="B940" s="7" t="s">
        <v>693</v>
      </c>
      <c r="C940" s="7" t="s">
        <v>237</v>
      </c>
      <c r="D940" s="7" t="s">
        <v>828</v>
      </c>
      <c r="E940" s="7">
        <f>31+15+16+6+6+1</f>
        <v>75</v>
      </c>
      <c r="F940" s="8">
        <v>1</v>
      </c>
      <c r="G940" s="8">
        <v>14</v>
      </c>
      <c r="H940" s="7" t="s">
        <v>829</v>
      </c>
      <c r="I940" s="7">
        <v>14</v>
      </c>
      <c r="J940" s="9" t="s">
        <v>176</v>
      </c>
      <c r="K940" s="9">
        <v>3</v>
      </c>
      <c r="L940" s="7" t="s">
        <v>52</v>
      </c>
      <c r="M940" s="7">
        <f t="shared" si="67"/>
        <v>1</v>
      </c>
      <c r="N940" s="9" t="s">
        <v>109</v>
      </c>
      <c r="O940" s="7">
        <v>0</v>
      </c>
      <c r="P940" s="9" t="s">
        <v>63</v>
      </c>
      <c r="Q940" s="9" t="s">
        <v>283</v>
      </c>
      <c r="R940" s="9" t="s">
        <v>283</v>
      </c>
      <c r="S940" s="9" t="s">
        <v>830</v>
      </c>
      <c r="T940" s="7">
        <v>25</v>
      </c>
      <c r="U940" s="7">
        <v>25</v>
      </c>
      <c r="V940" s="7">
        <v>80</v>
      </c>
      <c r="W940" s="7" t="s">
        <v>83</v>
      </c>
      <c r="X940" s="7">
        <v>20</v>
      </c>
      <c r="Y940" s="7"/>
      <c r="Z940" s="7"/>
      <c r="AA940" s="7"/>
      <c r="AB940" s="7">
        <f t="shared" si="70"/>
        <v>15</v>
      </c>
      <c r="AC940" s="7">
        <f t="shared" si="68"/>
        <v>15</v>
      </c>
      <c r="AD940" s="7"/>
      <c r="AE940" s="7" t="s">
        <v>55</v>
      </c>
      <c r="AF940" s="7"/>
      <c r="AG940" s="7" t="s">
        <v>831</v>
      </c>
      <c r="AH940" s="7"/>
      <c r="AI940" s="7"/>
      <c r="AJ940" s="10" t="s">
        <v>2375</v>
      </c>
      <c r="AK940" s="7"/>
      <c r="AL940" s="9"/>
      <c r="AM940" s="7" t="s">
        <v>559</v>
      </c>
      <c r="AN940" s="7" t="s">
        <v>2851</v>
      </c>
      <c r="AO940" s="15" t="s">
        <v>2592</v>
      </c>
    </row>
    <row r="941" spans="1:41" s="11" customFormat="1" x14ac:dyDescent="0.25">
      <c r="A941" s="2">
        <v>940</v>
      </c>
      <c r="B941" s="7" t="s">
        <v>832</v>
      </c>
      <c r="C941" s="7" t="s">
        <v>119</v>
      </c>
      <c r="D941" s="7">
        <v>9</v>
      </c>
      <c r="E941" s="7">
        <v>9</v>
      </c>
      <c r="F941" s="8">
        <v>1</v>
      </c>
      <c r="G941" s="8">
        <v>1</v>
      </c>
      <c r="H941" s="7">
        <v>1</v>
      </c>
      <c r="I941" s="7">
        <v>1</v>
      </c>
      <c r="J941" s="9" t="s">
        <v>35</v>
      </c>
      <c r="K941" s="7">
        <v>2</v>
      </c>
      <c r="L941" s="7" t="s">
        <v>52</v>
      </c>
      <c r="M941" s="7">
        <f t="shared" si="67"/>
        <v>1</v>
      </c>
      <c r="N941" s="9" t="s">
        <v>34</v>
      </c>
      <c r="O941" s="7">
        <v>0</v>
      </c>
      <c r="P941" s="9" t="s">
        <v>33</v>
      </c>
      <c r="Q941" s="7"/>
      <c r="R941" s="7" t="s">
        <v>38</v>
      </c>
      <c r="S941" s="10" t="s">
        <v>1987</v>
      </c>
      <c r="T941" s="7"/>
      <c r="U941" s="7"/>
      <c r="V941" s="7"/>
      <c r="W941" s="7"/>
      <c r="X941" s="7"/>
      <c r="Y941" s="7"/>
      <c r="Z941" s="7"/>
      <c r="AA941" s="7"/>
      <c r="AB941" s="7">
        <v>0.33333333333333298</v>
      </c>
      <c r="AC941" s="7">
        <f t="shared" si="68"/>
        <v>0.33333333333333298</v>
      </c>
      <c r="AD941" s="7">
        <v>1</v>
      </c>
      <c r="AE941" s="7"/>
      <c r="AF941" s="7"/>
      <c r="AG941" s="7" t="s">
        <v>40</v>
      </c>
      <c r="AH941" s="7"/>
      <c r="AI941" s="7"/>
      <c r="AJ941" s="7"/>
      <c r="AK941" s="7"/>
      <c r="AL941" s="9"/>
      <c r="AM941" s="7" t="s">
        <v>71</v>
      </c>
      <c r="AN941" s="7" t="s">
        <v>71</v>
      </c>
      <c r="AO941" s="12"/>
    </row>
    <row r="942" spans="1:41" s="11" customFormat="1" x14ac:dyDescent="0.25">
      <c r="A942" s="2">
        <v>941</v>
      </c>
      <c r="B942" s="7" t="s">
        <v>832</v>
      </c>
      <c r="C942" s="7" t="s">
        <v>89</v>
      </c>
      <c r="D942" s="7" t="s">
        <v>833</v>
      </c>
      <c r="E942" s="7">
        <f>18+9</f>
        <v>27</v>
      </c>
      <c r="F942" s="8">
        <v>5</v>
      </c>
      <c r="G942" s="8">
        <v>6</v>
      </c>
      <c r="H942" s="7" t="s">
        <v>397</v>
      </c>
      <c r="I942" s="7">
        <v>6</v>
      </c>
      <c r="J942" s="9" t="s">
        <v>35</v>
      </c>
      <c r="K942" s="9" t="s">
        <v>37</v>
      </c>
      <c r="L942" s="7" t="s">
        <v>52</v>
      </c>
      <c r="M942" s="7">
        <f t="shared" si="67"/>
        <v>5</v>
      </c>
      <c r="N942" s="9"/>
      <c r="O942" s="7"/>
      <c r="P942" s="9"/>
      <c r="Q942" s="7"/>
      <c r="R942" s="7"/>
      <c r="S942" s="7"/>
      <c r="T942" s="7"/>
      <c r="U942" s="7"/>
      <c r="V942" s="7"/>
      <c r="W942" s="7"/>
      <c r="X942" s="7">
        <v>3</v>
      </c>
      <c r="Y942" s="7"/>
      <c r="Z942" s="7"/>
      <c r="AA942" s="7"/>
      <c r="AB942" s="7">
        <f t="shared" ref="AB942:AB955" si="71">(U942+X942+Z942)/3</f>
        <v>1</v>
      </c>
      <c r="AC942" s="7">
        <f t="shared" si="68"/>
        <v>1</v>
      </c>
      <c r="AD942" s="7"/>
      <c r="AE942" s="7"/>
      <c r="AF942" s="7"/>
      <c r="AG942" s="7"/>
      <c r="AH942" s="7"/>
      <c r="AI942" s="7"/>
      <c r="AJ942" s="7"/>
      <c r="AK942" s="7"/>
      <c r="AL942" s="9"/>
      <c r="AM942" s="7" t="s">
        <v>71</v>
      </c>
      <c r="AN942" s="7" t="s">
        <v>71</v>
      </c>
      <c r="AO942" s="12"/>
    </row>
    <row r="943" spans="1:41" s="11" customFormat="1" x14ac:dyDescent="0.25">
      <c r="A943" s="2">
        <v>942</v>
      </c>
      <c r="B943" s="7" t="s">
        <v>832</v>
      </c>
      <c r="C943" s="7" t="s">
        <v>100</v>
      </c>
      <c r="D943" s="7">
        <v>31</v>
      </c>
      <c r="E943" s="7">
        <v>31</v>
      </c>
      <c r="F943" s="8">
        <v>1</v>
      </c>
      <c r="G943" s="8">
        <v>1</v>
      </c>
      <c r="H943" s="7">
        <v>1</v>
      </c>
      <c r="I943" s="7">
        <v>1</v>
      </c>
      <c r="J943" s="9" t="s">
        <v>219</v>
      </c>
      <c r="K943" s="7">
        <v>1</v>
      </c>
      <c r="L943" s="7" t="s">
        <v>52</v>
      </c>
      <c r="M943" s="7">
        <f t="shared" si="67"/>
        <v>1</v>
      </c>
      <c r="N943" s="9"/>
      <c r="O943" s="7"/>
      <c r="P943" s="9"/>
      <c r="Q943" s="7"/>
      <c r="R943" s="7"/>
      <c r="S943" s="7"/>
      <c r="T943" s="7"/>
      <c r="U943" s="7"/>
      <c r="V943" s="7"/>
      <c r="W943" s="7"/>
      <c r="X943" s="7">
        <v>3</v>
      </c>
      <c r="Y943" s="7"/>
      <c r="Z943" s="7"/>
      <c r="AA943" s="7"/>
      <c r="AB943" s="7">
        <f t="shared" si="71"/>
        <v>1</v>
      </c>
      <c r="AC943" s="7">
        <f t="shared" si="68"/>
        <v>1</v>
      </c>
      <c r="AD943" s="7"/>
      <c r="AE943" s="7"/>
      <c r="AF943" s="7"/>
      <c r="AG943" s="7"/>
      <c r="AH943" s="7"/>
      <c r="AI943" s="7"/>
      <c r="AJ943" s="7"/>
      <c r="AK943" s="7"/>
      <c r="AL943" s="9"/>
      <c r="AM943" s="7" t="s">
        <v>71</v>
      </c>
      <c r="AN943" s="7" t="s">
        <v>71</v>
      </c>
      <c r="AO943" s="12"/>
    </row>
    <row r="944" spans="1:41" s="11" customFormat="1" x14ac:dyDescent="0.25">
      <c r="A944" s="2">
        <v>943</v>
      </c>
      <c r="B944" s="7" t="s">
        <v>832</v>
      </c>
      <c r="C944" s="7" t="s">
        <v>100</v>
      </c>
      <c r="D944" s="7">
        <v>4</v>
      </c>
      <c r="E944" s="7">
        <v>4</v>
      </c>
      <c r="F944" s="8">
        <v>1</v>
      </c>
      <c r="G944" s="8">
        <v>1</v>
      </c>
      <c r="H944" s="7">
        <v>1</v>
      </c>
      <c r="I944" s="7">
        <v>1</v>
      </c>
      <c r="J944" s="9" t="s">
        <v>219</v>
      </c>
      <c r="K944" s="9" t="s">
        <v>177</v>
      </c>
      <c r="L944" s="7" t="s">
        <v>52</v>
      </c>
      <c r="M944" s="7">
        <f t="shared" si="67"/>
        <v>1</v>
      </c>
      <c r="N944" s="9"/>
      <c r="O944" s="7"/>
      <c r="P944" s="9"/>
      <c r="Q944" s="7"/>
      <c r="R944" s="7"/>
      <c r="S944" s="7"/>
      <c r="T944" s="7"/>
      <c r="U944" s="7"/>
      <c r="V944" s="7"/>
      <c r="W944" s="7"/>
      <c r="X944" s="7">
        <v>3</v>
      </c>
      <c r="Y944" s="7"/>
      <c r="Z944" s="7"/>
      <c r="AA944" s="7"/>
      <c r="AB944" s="7">
        <f t="shared" si="71"/>
        <v>1</v>
      </c>
      <c r="AC944" s="7">
        <f t="shared" si="68"/>
        <v>1</v>
      </c>
      <c r="AD944" s="7"/>
      <c r="AE944" s="7"/>
      <c r="AF944" s="7"/>
      <c r="AG944" s="7"/>
      <c r="AH944" s="7"/>
      <c r="AI944" s="7"/>
      <c r="AJ944" s="7"/>
      <c r="AK944" s="7"/>
      <c r="AL944" s="9"/>
      <c r="AM944" s="7" t="s">
        <v>71</v>
      </c>
      <c r="AN944" s="7" t="s">
        <v>71</v>
      </c>
      <c r="AO944" s="12"/>
    </row>
    <row r="945" spans="1:41" s="11" customFormat="1" ht="24" x14ac:dyDescent="0.25">
      <c r="A945" s="2">
        <v>944</v>
      </c>
      <c r="B945" s="7" t="s">
        <v>832</v>
      </c>
      <c r="C945" s="7" t="s">
        <v>78</v>
      </c>
      <c r="D945" s="7">
        <v>2</v>
      </c>
      <c r="E945" s="7">
        <v>2</v>
      </c>
      <c r="F945" s="8">
        <v>1</v>
      </c>
      <c r="G945" s="8">
        <v>1</v>
      </c>
      <c r="H945" s="7">
        <v>1</v>
      </c>
      <c r="I945" s="7">
        <v>1</v>
      </c>
      <c r="J945" s="9" t="s">
        <v>176</v>
      </c>
      <c r="K945" s="7">
        <v>3</v>
      </c>
      <c r="L945" s="7" t="s">
        <v>52</v>
      </c>
      <c r="M945" s="7">
        <f t="shared" si="67"/>
        <v>1</v>
      </c>
      <c r="N945" s="9" t="s">
        <v>177</v>
      </c>
      <c r="O945" s="7">
        <v>0</v>
      </c>
      <c r="P945" s="9" t="s">
        <v>63</v>
      </c>
      <c r="Q945" s="7" t="s">
        <v>38</v>
      </c>
      <c r="R945" s="7" t="s">
        <v>38</v>
      </c>
      <c r="S945" s="10" t="s">
        <v>1988</v>
      </c>
      <c r="T945" s="7">
        <v>4</v>
      </c>
      <c r="U945" s="7">
        <v>4</v>
      </c>
      <c r="V945" s="7">
        <v>210</v>
      </c>
      <c r="W945" s="7" t="s">
        <v>331</v>
      </c>
      <c r="X945" s="7"/>
      <c r="Y945" s="7"/>
      <c r="Z945" s="7"/>
      <c r="AA945" s="7"/>
      <c r="AB945" s="7">
        <f t="shared" si="71"/>
        <v>1.3333333333333333</v>
      </c>
      <c r="AC945" s="7">
        <f t="shared" si="68"/>
        <v>1.3333333333333333</v>
      </c>
      <c r="AD945" s="7"/>
      <c r="AE945" s="7"/>
      <c r="AF945" s="7"/>
      <c r="AG945" s="7"/>
      <c r="AH945" s="7"/>
      <c r="AI945" s="7"/>
      <c r="AJ945" s="7"/>
      <c r="AK945" s="7"/>
      <c r="AL945" s="9"/>
      <c r="AM945" s="7" t="s">
        <v>71</v>
      </c>
      <c r="AN945" s="7" t="s">
        <v>71</v>
      </c>
      <c r="AO945" s="12"/>
    </row>
    <row r="946" spans="1:41" s="11" customFormat="1" x14ac:dyDescent="0.25">
      <c r="A946" s="2">
        <v>945</v>
      </c>
      <c r="B946" s="7" t="s">
        <v>832</v>
      </c>
      <c r="C946" s="7" t="s">
        <v>78</v>
      </c>
      <c r="D946" s="7">
        <v>1</v>
      </c>
      <c r="E946" s="7">
        <v>1</v>
      </c>
      <c r="F946" s="8">
        <v>1</v>
      </c>
      <c r="G946" s="8">
        <v>1</v>
      </c>
      <c r="H946" s="7">
        <v>1</v>
      </c>
      <c r="I946" s="7">
        <v>1</v>
      </c>
      <c r="J946" s="9" t="s">
        <v>176</v>
      </c>
      <c r="K946" s="9" t="s">
        <v>268</v>
      </c>
      <c r="L946" s="7" t="s">
        <v>52</v>
      </c>
      <c r="M946" s="7">
        <f t="shared" si="67"/>
        <v>1</v>
      </c>
      <c r="N946" s="9" t="s">
        <v>177</v>
      </c>
      <c r="O946" s="7">
        <v>0</v>
      </c>
      <c r="P946" s="9" t="s">
        <v>63</v>
      </c>
      <c r="Q946" s="9" t="s">
        <v>38</v>
      </c>
      <c r="R946" s="9" t="s">
        <v>38</v>
      </c>
      <c r="S946" s="9" t="s">
        <v>815</v>
      </c>
      <c r="T946" s="9" t="s">
        <v>92</v>
      </c>
      <c r="U946" s="7">
        <v>3</v>
      </c>
      <c r="V946" s="9" t="s">
        <v>199</v>
      </c>
      <c r="W946" s="9" t="s">
        <v>834</v>
      </c>
      <c r="X946" s="7"/>
      <c r="Y946" s="7"/>
      <c r="Z946" s="7"/>
      <c r="AA946" s="7"/>
      <c r="AB946" s="7">
        <f t="shared" si="71"/>
        <v>1</v>
      </c>
      <c r="AC946" s="7">
        <f t="shared" si="68"/>
        <v>1</v>
      </c>
      <c r="AD946" s="7"/>
      <c r="AE946" s="7"/>
      <c r="AF946" s="7"/>
      <c r="AG946" s="7"/>
      <c r="AH946" s="7"/>
      <c r="AI946" s="7"/>
      <c r="AJ946" s="7"/>
      <c r="AK946" s="7"/>
      <c r="AL946" s="9"/>
      <c r="AM946" s="7" t="s">
        <v>71</v>
      </c>
      <c r="AN946" s="7" t="s">
        <v>71</v>
      </c>
      <c r="AO946" s="12"/>
    </row>
    <row r="947" spans="1:41" s="11" customFormat="1" x14ac:dyDescent="0.25">
      <c r="A947" s="2">
        <v>946</v>
      </c>
      <c r="B947" s="7" t="s">
        <v>832</v>
      </c>
      <c r="C947" s="7" t="s">
        <v>100</v>
      </c>
      <c r="D947" s="7">
        <v>10</v>
      </c>
      <c r="E947" s="7">
        <v>10</v>
      </c>
      <c r="F947" s="8">
        <v>1</v>
      </c>
      <c r="G947" s="8">
        <v>1</v>
      </c>
      <c r="H947" s="7">
        <v>1</v>
      </c>
      <c r="I947" s="7">
        <v>1</v>
      </c>
      <c r="J947" s="9" t="s">
        <v>176</v>
      </c>
      <c r="K947" s="9" t="s">
        <v>268</v>
      </c>
      <c r="L947" s="7" t="s">
        <v>52</v>
      </c>
      <c r="M947" s="7">
        <f t="shared" si="67"/>
        <v>1</v>
      </c>
      <c r="N947" s="9" t="s">
        <v>177</v>
      </c>
      <c r="O947" s="7">
        <v>0</v>
      </c>
      <c r="P947" s="9" t="s">
        <v>63</v>
      </c>
      <c r="Q947" s="9" t="s">
        <v>38</v>
      </c>
      <c r="R947" s="9" t="s">
        <v>52</v>
      </c>
      <c r="S947" s="10" t="s">
        <v>1614</v>
      </c>
      <c r="T947" s="7"/>
      <c r="U947" s="7"/>
      <c r="V947" s="7"/>
      <c r="W947" s="7"/>
      <c r="X947" s="7">
        <v>3</v>
      </c>
      <c r="Y947" s="7"/>
      <c r="Z947" s="7"/>
      <c r="AA947" s="7"/>
      <c r="AB947" s="7">
        <f t="shared" si="71"/>
        <v>1</v>
      </c>
      <c r="AC947" s="7">
        <f t="shared" si="68"/>
        <v>1</v>
      </c>
      <c r="AD947" s="7"/>
      <c r="AE947" s="7"/>
      <c r="AF947" s="7"/>
      <c r="AG947" s="7"/>
      <c r="AH947" s="7"/>
      <c r="AI947" s="7"/>
      <c r="AJ947" s="7"/>
      <c r="AK947" s="7"/>
      <c r="AL947" s="9"/>
      <c r="AM947" s="7" t="s">
        <v>71</v>
      </c>
      <c r="AN947" s="7" t="s">
        <v>71</v>
      </c>
      <c r="AO947" s="12"/>
    </row>
    <row r="948" spans="1:41" s="11" customFormat="1" x14ac:dyDescent="0.25">
      <c r="A948" s="2">
        <v>947</v>
      </c>
      <c r="B948" s="7" t="s">
        <v>832</v>
      </c>
      <c r="C948" s="7" t="s">
        <v>89</v>
      </c>
      <c r="D948" s="7" t="s">
        <v>835</v>
      </c>
      <c r="E948" s="7">
        <v>9</v>
      </c>
      <c r="F948" s="8">
        <v>5</v>
      </c>
      <c r="G948" s="8">
        <v>5</v>
      </c>
      <c r="H948" s="7" t="s">
        <v>345</v>
      </c>
      <c r="I948" s="7">
        <v>5</v>
      </c>
      <c r="J948" s="9" t="s">
        <v>70</v>
      </c>
      <c r="K948" s="7">
        <v>1</v>
      </c>
      <c r="L948" s="7" t="s">
        <v>52</v>
      </c>
      <c r="M948" s="7">
        <f t="shared" si="67"/>
        <v>5</v>
      </c>
      <c r="N948" s="9"/>
      <c r="O948" s="7"/>
      <c r="P948" s="9"/>
      <c r="Q948" s="7"/>
      <c r="R948" s="7"/>
      <c r="S948" s="7"/>
      <c r="T948" s="7"/>
      <c r="U948" s="7"/>
      <c r="V948" s="7"/>
      <c r="W948" s="7"/>
      <c r="X948" s="7">
        <v>3</v>
      </c>
      <c r="Y948" s="7"/>
      <c r="Z948" s="7"/>
      <c r="AA948" s="7"/>
      <c r="AB948" s="7">
        <f t="shared" si="71"/>
        <v>1</v>
      </c>
      <c r="AC948" s="7">
        <f t="shared" si="68"/>
        <v>1</v>
      </c>
      <c r="AD948" s="7"/>
      <c r="AE948" s="7"/>
      <c r="AF948" s="7"/>
      <c r="AG948" s="7"/>
      <c r="AH948" s="7"/>
      <c r="AI948" s="7"/>
      <c r="AJ948" s="7"/>
      <c r="AK948" s="7"/>
      <c r="AL948" s="9"/>
      <c r="AM948" s="7" t="s">
        <v>71</v>
      </c>
      <c r="AN948" s="7" t="s">
        <v>71</v>
      </c>
      <c r="AO948" s="12"/>
    </row>
    <row r="949" spans="1:41" s="11" customFormat="1" x14ac:dyDescent="0.25">
      <c r="A949" s="2">
        <v>948</v>
      </c>
      <c r="B949" s="7" t="s">
        <v>832</v>
      </c>
      <c r="C949" s="7" t="s">
        <v>50</v>
      </c>
      <c r="D949" s="7">
        <v>25</v>
      </c>
      <c r="E949" s="7">
        <v>25</v>
      </c>
      <c r="F949" s="8">
        <v>1</v>
      </c>
      <c r="G949" s="8">
        <v>1</v>
      </c>
      <c r="H949" s="7">
        <v>1</v>
      </c>
      <c r="I949" s="7">
        <v>1</v>
      </c>
      <c r="J949" s="9" t="s">
        <v>77</v>
      </c>
      <c r="K949" s="7">
        <v>1</v>
      </c>
      <c r="L949" s="7" t="s">
        <v>38</v>
      </c>
      <c r="M949" s="7">
        <f t="shared" si="67"/>
        <v>0</v>
      </c>
      <c r="N949" s="9" t="s">
        <v>36</v>
      </c>
      <c r="O949" s="7"/>
      <c r="P949" s="9"/>
      <c r="Q949" s="7" t="s">
        <v>38</v>
      </c>
      <c r="R949" s="7" t="s">
        <v>38</v>
      </c>
      <c r="S949" s="10" t="s">
        <v>1989</v>
      </c>
      <c r="T949" s="7"/>
      <c r="U949" s="7"/>
      <c r="V949" s="7"/>
      <c r="W949" s="7"/>
      <c r="X949" s="7"/>
      <c r="Y949" s="7">
        <v>11</v>
      </c>
      <c r="Z949" s="7">
        <v>11</v>
      </c>
      <c r="AA949" s="7">
        <v>130</v>
      </c>
      <c r="AB949" s="7">
        <f t="shared" si="71"/>
        <v>3.6666666666666665</v>
      </c>
      <c r="AC949" s="7">
        <f t="shared" si="68"/>
        <v>0</v>
      </c>
      <c r="AD949" s="7"/>
      <c r="AE949" s="7"/>
      <c r="AF949" s="7"/>
      <c r="AG949" s="7"/>
      <c r="AH949" s="7"/>
      <c r="AI949" s="10" t="s">
        <v>2311</v>
      </c>
      <c r="AJ949" s="7"/>
      <c r="AK949" s="7"/>
      <c r="AL949" s="9"/>
      <c r="AM949" s="7" t="s">
        <v>71</v>
      </c>
      <c r="AN949" s="7" t="s">
        <v>71</v>
      </c>
      <c r="AO949" s="12"/>
    </row>
    <row r="950" spans="1:41" s="11" customFormat="1" x14ac:dyDescent="0.25">
      <c r="A950" s="2">
        <v>949</v>
      </c>
      <c r="B950" s="7" t="s">
        <v>832</v>
      </c>
      <c r="C950" s="7" t="s">
        <v>50</v>
      </c>
      <c r="D950" s="7">
        <v>25</v>
      </c>
      <c r="E950" s="7">
        <v>25</v>
      </c>
      <c r="F950" s="8">
        <v>1</v>
      </c>
      <c r="G950" s="8">
        <v>1</v>
      </c>
      <c r="H950" s="7">
        <v>1</v>
      </c>
      <c r="I950" s="7">
        <v>1</v>
      </c>
      <c r="J950" s="9" t="s">
        <v>77</v>
      </c>
      <c r="K950" s="7">
        <v>1</v>
      </c>
      <c r="L950" s="7" t="s">
        <v>38</v>
      </c>
      <c r="M950" s="7">
        <f t="shared" si="67"/>
        <v>0</v>
      </c>
      <c r="N950" s="9" t="s">
        <v>36</v>
      </c>
      <c r="O950" s="7">
        <v>0</v>
      </c>
      <c r="P950" s="9" t="s">
        <v>34</v>
      </c>
      <c r="Q950" s="7" t="s">
        <v>38</v>
      </c>
      <c r="R950" s="7" t="s">
        <v>52</v>
      </c>
      <c r="S950" s="7"/>
      <c r="T950" s="7"/>
      <c r="U950" s="7"/>
      <c r="V950" s="7"/>
      <c r="W950" s="7"/>
      <c r="X950" s="7"/>
      <c r="Y950" s="7" t="s">
        <v>92</v>
      </c>
      <c r="Z950" s="7">
        <v>3</v>
      </c>
      <c r="AA950" s="7" t="s">
        <v>199</v>
      </c>
      <c r="AB950" s="7">
        <f t="shared" si="71"/>
        <v>1</v>
      </c>
      <c r="AC950" s="7">
        <f t="shared" si="68"/>
        <v>0</v>
      </c>
      <c r="AD950" s="7"/>
      <c r="AE950" s="7"/>
      <c r="AF950" s="7"/>
      <c r="AG950" s="7"/>
      <c r="AH950" s="7"/>
      <c r="AI950" s="7"/>
      <c r="AJ950" s="7"/>
      <c r="AK950" s="7"/>
      <c r="AL950" s="9"/>
      <c r="AM950" s="7" t="s">
        <v>71</v>
      </c>
      <c r="AN950" s="7" t="s">
        <v>71</v>
      </c>
      <c r="AO950" s="12"/>
    </row>
    <row r="951" spans="1:41" s="11" customFormat="1" x14ac:dyDescent="0.25">
      <c r="A951" s="2">
        <v>950</v>
      </c>
      <c r="B951" s="7" t="s">
        <v>832</v>
      </c>
      <c r="C951" s="7" t="s">
        <v>89</v>
      </c>
      <c r="D951" s="7" t="s">
        <v>836</v>
      </c>
      <c r="E951" s="7">
        <v>27</v>
      </c>
      <c r="F951" s="8">
        <v>5</v>
      </c>
      <c r="G951" s="8">
        <v>5</v>
      </c>
      <c r="H951" s="7" t="s">
        <v>345</v>
      </c>
      <c r="I951" s="7">
        <v>5</v>
      </c>
      <c r="J951" s="9" t="s">
        <v>77</v>
      </c>
      <c r="K951" s="7">
        <v>1</v>
      </c>
      <c r="L951" s="7" t="s">
        <v>38</v>
      </c>
      <c r="M951" s="7">
        <f t="shared" si="67"/>
        <v>0</v>
      </c>
      <c r="N951" s="9"/>
      <c r="O951" s="7"/>
      <c r="P951" s="9"/>
      <c r="Q951" s="7"/>
      <c r="R951" s="7"/>
      <c r="S951" s="7"/>
      <c r="T951" s="7"/>
      <c r="U951" s="7"/>
      <c r="V951" s="7"/>
      <c r="W951" s="7"/>
      <c r="X951" s="7">
        <v>3</v>
      </c>
      <c r="Y951" s="7"/>
      <c r="Z951" s="7"/>
      <c r="AA951" s="7"/>
      <c r="AB951" s="7">
        <f t="shared" si="71"/>
        <v>1</v>
      </c>
      <c r="AC951" s="7">
        <f t="shared" si="68"/>
        <v>0</v>
      </c>
      <c r="AD951" s="7"/>
      <c r="AE951" s="7"/>
      <c r="AF951" s="7"/>
      <c r="AG951" s="7"/>
      <c r="AH951" s="7"/>
      <c r="AI951" s="7"/>
      <c r="AJ951" s="7"/>
      <c r="AK951" s="7"/>
      <c r="AL951" s="9"/>
      <c r="AM951" s="7" t="s">
        <v>71</v>
      </c>
      <c r="AN951" s="7" t="s">
        <v>71</v>
      </c>
      <c r="AO951" s="12"/>
    </row>
    <row r="952" spans="1:41" s="11" customFormat="1" x14ac:dyDescent="0.25">
      <c r="A952" s="2">
        <v>951</v>
      </c>
      <c r="B952" s="7" t="s">
        <v>832</v>
      </c>
      <c r="C952" s="7" t="s">
        <v>78</v>
      </c>
      <c r="D952" s="7">
        <v>1</v>
      </c>
      <c r="E952" s="7">
        <v>1</v>
      </c>
      <c r="F952" s="8">
        <v>1</v>
      </c>
      <c r="G952" s="8">
        <v>1</v>
      </c>
      <c r="H952" s="7">
        <v>1</v>
      </c>
      <c r="I952" s="7">
        <v>1</v>
      </c>
      <c r="J952" s="9" t="s">
        <v>77</v>
      </c>
      <c r="K952" s="7">
        <v>1</v>
      </c>
      <c r="L952" s="7" t="s">
        <v>38</v>
      </c>
      <c r="M952" s="7">
        <f t="shared" si="67"/>
        <v>0</v>
      </c>
      <c r="N952" s="9" t="s">
        <v>82</v>
      </c>
      <c r="O952" s="7">
        <v>0</v>
      </c>
      <c r="P952" s="9" t="s">
        <v>36</v>
      </c>
      <c r="Q952" s="7" t="s">
        <v>38</v>
      </c>
      <c r="R952" s="7" t="s">
        <v>38</v>
      </c>
      <c r="S952" s="7"/>
      <c r="T952" s="7">
        <v>10</v>
      </c>
      <c r="U952" s="7">
        <v>10</v>
      </c>
      <c r="V952" s="7">
        <v>50</v>
      </c>
      <c r="W952" s="7" t="s">
        <v>88</v>
      </c>
      <c r="X952" s="7"/>
      <c r="Y952" s="7"/>
      <c r="Z952" s="7"/>
      <c r="AA952" s="7"/>
      <c r="AB952" s="7">
        <f t="shared" si="71"/>
        <v>3.3333333333333335</v>
      </c>
      <c r="AC952" s="7">
        <f t="shared" si="68"/>
        <v>0</v>
      </c>
      <c r="AD952" s="7"/>
      <c r="AE952" s="7"/>
      <c r="AF952" s="7"/>
      <c r="AG952" s="7"/>
      <c r="AH952" s="7"/>
      <c r="AI952" s="7"/>
      <c r="AJ952" s="7"/>
      <c r="AK952" s="7"/>
      <c r="AL952" s="9"/>
      <c r="AM952" s="7" t="s">
        <v>71</v>
      </c>
      <c r="AN952" s="7" t="s">
        <v>71</v>
      </c>
      <c r="AO952" s="12"/>
    </row>
    <row r="953" spans="1:41" s="11" customFormat="1" x14ac:dyDescent="0.25">
      <c r="A953" s="2">
        <v>952</v>
      </c>
      <c r="B953" s="7" t="s">
        <v>832</v>
      </c>
      <c r="C953" s="7" t="s">
        <v>104</v>
      </c>
      <c r="D953" s="7">
        <v>26</v>
      </c>
      <c r="E953" s="7">
        <v>26</v>
      </c>
      <c r="F953" s="8">
        <v>1</v>
      </c>
      <c r="G953" s="8">
        <v>1</v>
      </c>
      <c r="H953" s="7">
        <v>1</v>
      </c>
      <c r="I953" s="7">
        <v>1</v>
      </c>
      <c r="J953" s="9" t="s">
        <v>77</v>
      </c>
      <c r="K953" s="7">
        <v>1</v>
      </c>
      <c r="L953" s="7" t="s">
        <v>38</v>
      </c>
      <c r="M953" s="7">
        <f t="shared" si="67"/>
        <v>0</v>
      </c>
      <c r="N953" s="9" t="s">
        <v>82</v>
      </c>
      <c r="O953" s="7">
        <v>0</v>
      </c>
      <c r="P953" s="9" t="s">
        <v>34</v>
      </c>
      <c r="Q953" s="7" t="s">
        <v>38</v>
      </c>
      <c r="R953" s="7" t="s">
        <v>38</v>
      </c>
      <c r="S953" s="10" t="s">
        <v>1589</v>
      </c>
      <c r="T953" s="7"/>
      <c r="U953" s="7"/>
      <c r="V953" s="7"/>
      <c r="W953" s="7"/>
      <c r="X953" s="7">
        <v>3</v>
      </c>
      <c r="Y953" s="7"/>
      <c r="Z953" s="7"/>
      <c r="AA953" s="7"/>
      <c r="AB953" s="7">
        <f t="shared" si="71"/>
        <v>1</v>
      </c>
      <c r="AC953" s="7">
        <f t="shared" si="68"/>
        <v>0</v>
      </c>
      <c r="AD953" s="7"/>
      <c r="AE953" s="7">
        <v>1</v>
      </c>
      <c r="AF953" s="7"/>
      <c r="AG953" s="7"/>
      <c r="AH953" s="7"/>
      <c r="AI953" s="7"/>
      <c r="AJ953" s="7"/>
      <c r="AK953" s="7"/>
      <c r="AL953" s="9"/>
      <c r="AM953" s="7" t="s">
        <v>71</v>
      </c>
      <c r="AN953" s="7" t="s">
        <v>71</v>
      </c>
      <c r="AO953" s="12"/>
    </row>
    <row r="954" spans="1:41" s="11" customFormat="1" x14ac:dyDescent="0.25">
      <c r="A954" s="2">
        <v>953</v>
      </c>
      <c r="B954" s="7" t="s">
        <v>832</v>
      </c>
      <c r="C954" s="7" t="s">
        <v>89</v>
      </c>
      <c r="D954" s="7" t="s">
        <v>837</v>
      </c>
      <c r="E954" s="7">
        <v>46</v>
      </c>
      <c r="F954" s="8">
        <v>2</v>
      </c>
      <c r="G954" s="8">
        <v>2</v>
      </c>
      <c r="H954" s="7" t="s">
        <v>87</v>
      </c>
      <c r="I954" s="7">
        <v>2</v>
      </c>
      <c r="J954" s="9" t="s">
        <v>77</v>
      </c>
      <c r="K954" s="7">
        <v>1</v>
      </c>
      <c r="L954" s="7" t="s">
        <v>38</v>
      </c>
      <c r="M954" s="7">
        <f t="shared" si="67"/>
        <v>0</v>
      </c>
      <c r="N954" s="9"/>
      <c r="O954" s="7"/>
      <c r="P954" s="9"/>
      <c r="Q954" s="7"/>
      <c r="R954" s="7"/>
      <c r="S954" s="7"/>
      <c r="T954" s="7"/>
      <c r="U954" s="7"/>
      <c r="V954" s="7"/>
      <c r="W954" s="7"/>
      <c r="X954" s="7">
        <v>3</v>
      </c>
      <c r="Y954" s="7"/>
      <c r="Z954" s="7"/>
      <c r="AA954" s="7"/>
      <c r="AB954" s="7">
        <f t="shared" si="71"/>
        <v>1</v>
      </c>
      <c r="AC954" s="7">
        <f t="shared" si="68"/>
        <v>0</v>
      </c>
      <c r="AD954" s="7"/>
      <c r="AE954" s="7"/>
      <c r="AF954" s="7"/>
      <c r="AG954" s="7"/>
      <c r="AH954" s="7"/>
      <c r="AI954" s="7"/>
      <c r="AJ954" s="7"/>
      <c r="AK954" s="7"/>
      <c r="AL954" s="9"/>
      <c r="AM954" s="7" t="s">
        <v>71</v>
      </c>
      <c r="AN954" s="7" t="s">
        <v>71</v>
      </c>
      <c r="AO954" s="12"/>
    </row>
    <row r="955" spans="1:41" s="11" customFormat="1" x14ac:dyDescent="0.25">
      <c r="A955" s="2">
        <v>954</v>
      </c>
      <c r="B955" s="7" t="s">
        <v>832</v>
      </c>
      <c r="C955" s="7" t="s">
        <v>89</v>
      </c>
      <c r="D955" s="7" t="s">
        <v>838</v>
      </c>
      <c r="E955" s="7">
        <v>33</v>
      </c>
      <c r="F955" s="8">
        <v>2</v>
      </c>
      <c r="G955" s="8">
        <v>2</v>
      </c>
      <c r="H955" s="7" t="s">
        <v>87</v>
      </c>
      <c r="I955" s="7">
        <v>2</v>
      </c>
      <c r="J955" s="9" t="s">
        <v>353</v>
      </c>
      <c r="K955" s="7"/>
      <c r="L955" s="7" t="s">
        <v>38</v>
      </c>
      <c r="M955" s="7">
        <f t="shared" si="67"/>
        <v>0</v>
      </c>
      <c r="N955" s="9"/>
      <c r="O955" s="7"/>
      <c r="P955" s="9"/>
      <c r="Q955" s="7"/>
      <c r="R955" s="7"/>
      <c r="S955" s="7"/>
      <c r="T955" s="7"/>
      <c r="U955" s="7"/>
      <c r="V955" s="7"/>
      <c r="W955" s="7"/>
      <c r="X955" s="7">
        <v>3</v>
      </c>
      <c r="Y955" s="7"/>
      <c r="Z955" s="7"/>
      <c r="AA955" s="7"/>
      <c r="AB955" s="7">
        <f t="shared" si="71"/>
        <v>1</v>
      </c>
      <c r="AC955" s="7">
        <f t="shared" si="68"/>
        <v>0</v>
      </c>
      <c r="AD955" s="7"/>
      <c r="AE955" s="7"/>
      <c r="AF955" s="7"/>
      <c r="AG955" s="7"/>
      <c r="AH955" s="7"/>
      <c r="AI955" s="7"/>
      <c r="AJ955" s="7"/>
      <c r="AK955" s="7"/>
      <c r="AL955" s="9"/>
      <c r="AM955" s="7" t="s">
        <v>71</v>
      </c>
      <c r="AN955" s="7" t="s">
        <v>71</v>
      </c>
      <c r="AO955" s="15" t="s">
        <v>2593</v>
      </c>
    </row>
    <row r="956" spans="1:41" s="11" customFormat="1" x14ac:dyDescent="0.25">
      <c r="A956" s="2">
        <v>955</v>
      </c>
      <c r="B956" s="7" t="s">
        <v>832</v>
      </c>
      <c r="C956" s="7" t="s">
        <v>89</v>
      </c>
      <c r="D956" s="7">
        <v>36</v>
      </c>
      <c r="E956" s="7">
        <v>36</v>
      </c>
      <c r="F956" s="8">
        <v>3</v>
      </c>
      <c r="G956" s="8">
        <v>3</v>
      </c>
      <c r="H956" s="7" t="s">
        <v>97</v>
      </c>
      <c r="I956" s="7">
        <v>3</v>
      </c>
      <c r="J956" s="9" t="s">
        <v>639</v>
      </c>
      <c r="K956" s="7"/>
      <c r="L956" s="7" t="s">
        <v>38</v>
      </c>
      <c r="M956" s="7">
        <f t="shared" si="67"/>
        <v>0</v>
      </c>
      <c r="N956" s="9"/>
      <c r="O956" s="7"/>
      <c r="P956" s="9"/>
      <c r="Q956" s="7"/>
      <c r="R956" s="7"/>
      <c r="S956" s="7"/>
      <c r="T956" s="7"/>
      <c r="U956" s="7"/>
      <c r="V956" s="7"/>
      <c r="W956" s="7"/>
      <c r="X956" s="7"/>
      <c r="Y956" s="7"/>
      <c r="Z956" s="7"/>
      <c r="AA956" s="7"/>
      <c r="AB956" s="7">
        <v>0.33333333333333298</v>
      </c>
      <c r="AC956" s="7">
        <f t="shared" si="68"/>
        <v>0</v>
      </c>
      <c r="AD956" s="7"/>
      <c r="AE956" s="7"/>
      <c r="AF956" s="7"/>
      <c r="AG956" s="7"/>
      <c r="AH956" s="7"/>
      <c r="AI956" s="7"/>
      <c r="AJ956" s="7"/>
      <c r="AK956" s="7"/>
      <c r="AL956" s="9"/>
      <c r="AM956" s="7"/>
      <c r="AN956" s="7"/>
      <c r="AO956" s="15" t="s">
        <v>2594</v>
      </c>
    </row>
    <row r="957" spans="1:41" s="11" customFormat="1" x14ac:dyDescent="0.25">
      <c r="A957" s="2">
        <v>956</v>
      </c>
      <c r="B957" s="7" t="s">
        <v>832</v>
      </c>
      <c r="C957" s="7" t="s">
        <v>89</v>
      </c>
      <c r="D957" s="7" t="s">
        <v>839</v>
      </c>
      <c r="E957" s="7">
        <v>40</v>
      </c>
      <c r="F957" s="8">
        <v>2</v>
      </c>
      <c r="G957" s="8">
        <v>2</v>
      </c>
      <c r="H957" s="7" t="s">
        <v>87</v>
      </c>
      <c r="I957" s="7">
        <v>2</v>
      </c>
      <c r="J957" s="9" t="s">
        <v>35</v>
      </c>
      <c r="K957" s="7">
        <v>2</v>
      </c>
      <c r="L957" s="7" t="s">
        <v>52</v>
      </c>
      <c r="M957" s="7">
        <f t="shared" si="67"/>
        <v>2</v>
      </c>
      <c r="N957" s="9"/>
      <c r="O957" s="7"/>
      <c r="P957" s="9"/>
      <c r="Q957" s="7"/>
      <c r="R957" s="7"/>
      <c r="S957" s="7"/>
      <c r="T957" s="7"/>
      <c r="U957" s="7"/>
      <c r="V957" s="7"/>
      <c r="W957" s="7"/>
      <c r="X957" s="7">
        <v>3</v>
      </c>
      <c r="Y957" s="7"/>
      <c r="Z957" s="7"/>
      <c r="AA957" s="7"/>
      <c r="AB957" s="7">
        <f>(U957+X957+Z957)/3</f>
        <v>1</v>
      </c>
      <c r="AC957" s="7">
        <f t="shared" si="68"/>
        <v>1</v>
      </c>
      <c r="AD957" s="7"/>
      <c r="AE957" s="7"/>
      <c r="AF957" s="7"/>
      <c r="AG957" s="7"/>
      <c r="AH957" s="7"/>
      <c r="AI957" s="7"/>
      <c r="AJ957" s="7"/>
      <c r="AK957" s="7"/>
      <c r="AL957" s="9"/>
      <c r="AM957" s="7" t="s">
        <v>71</v>
      </c>
      <c r="AN957" s="7" t="s">
        <v>71</v>
      </c>
      <c r="AO957" s="12"/>
    </row>
    <row r="958" spans="1:41" s="11" customFormat="1" x14ac:dyDescent="0.25">
      <c r="A958" s="2">
        <v>957</v>
      </c>
      <c r="B958" s="7" t="s">
        <v>832</v>
      </c>
      <c r="C958" s="7" t="s">
        <v>100</v>
      </c>
      <c r="D958" s="7">
        <v>24</v>
      </c>
      <c r="E958" s="7">
        <v>24</v>
      </c>
      <c r="F958" s="8">
        <v>1</v>
      </c>
      <c r="G958" s="8">
        <v>1</v>
      </c>
      <c r="H958" s="7">
        <v>1</v>
      </c>
      <c r="I958" s="7">
        <v>1</v>
      </c>
      <c r="J958" s="9" t="s">
        <v>70</v>
      </c>
      <c r="K958" s="7">
        <v>1</v>
      </c>
      <c r="L958" s="7" t="s">
        <v>52</v>
      </c>
      <c r="M958" s="7">
        <f t="shared" si="67"/>
        <v>1</v>
      </c>
      <c r="N958" s="9" t="s">
        <v>34</v>
      </c>
      <c r="O958" s="7">
        <v>0</v>
      </c>
      <c r="P958" s="9" t="s">
        <v>33</v>
      </c>
      <c r="Q958" s="7" t="s">
        <v>52</v>
      </c>
      <c r="R958" s="7" t="s">
        <v>38</v>
      </c>
      <c r="S958" s="7"/>
      <c r="T958" s="7"/>
      <c r="U958" s="7"/>
      <c r="V958" s="7"/>
      <c r="W958" s="7"/>
      <c r="X958" s="7">
        <v>3</v>
      </c>
      <c r="Y958" s="7"/>
      <c r="Z958" s="7"/>
      <c r="AA958" s="7"/>
      <c r="AB958" s="7">
        <f>(U958+X958+Z958)/3</f>
        <v>1</v>
      </c>
      <c r="AC958" s="7">
        <f t="shared" si="68"/>
        <v>1</v>
      </c>
      <c r="AD958" s="7"/>
      <c r="AE958" s="7"/>
      <c r="AF958" s="7"/>
      <c r="AG958" s="7"/>
      <c r="AH958" s="7"/>
      <c r="AI958" s="7"/>
      <c r="AJ958" s="10" t="s">
        <v>2361</v>
      </c>
      <c r="AK958" s="7"/>
      <c r="AL958" s="9"/>
      <c r="AM958" s="7" t="s">
        <v>71</v>
      </c>
      <c r="AN958" s="7" t="s">
        <v>71</v>
      </c>
      <c r="AO958" s="12"/>
    </row>
    <row r="959" spans="1:41" s="11" customFormat="1" ht="24" x14ac:dyDescent="0.25">
      <c r="A959" s="2">
        <v>958</v>
      </c>
      <c r="B959" s="7" t="s">
        <v>832</v>
      </c>
      <c r="C959" s="7" t="s">
        <v>50</v>
      </c>
      <c r="D959" s="7">
        <v>85</v>
      </c>
      <c r="E959" s="7">
        <v>85</v>
      </c>
      <c r="F959" s="8">
        <v>1</v>
      </c>
      <c r="G959" s="8">
        <v>1</v>
      </c>
      <c r="H959" s="7">
        <v>1</v>
      </c>
      <c r="I959" s="7">
        <v>1</v>
      </c>
      <c r="J959" s="9" t="s">
        <v>219</v>
      </c>
      <c r="K959" s="9" t="s">
        <v>55</v>
      </c>
      <c r="L959" s="7" t="s">
        <v>52</v>
      </c>
      <c r="M959" s="7">
        <f t="shared" si="67"/>
        <v>1</v>
      </c>
      <c r="N959" s="9" t="s">
        <v>34</v>
      </c>
      <c r="O959" s="7">
        <v>3</v>
      </c>
      <c r="P959" s="9" t="s">
        <v>63</v>
      </c>
      <c r="Q959" s="9" t="s">
        <v>38</v>
      </c>
      <c r="R959" s="9" t="s">
        <v>38</v>
      </c>
      <c r="S959" s="13" t="s">
        <v>1990</v>
      </c>
      <c r="T959" s="7"/>
      <c r="U959" s="7"/>
      <c r="V959" s="7"/>
      <c r="W959" s="7"/>
      <c r="X959" s="7"/>
      <c r="Y959" s="7">
        <v>75</v>
      </c>
      <c r="Z959" s="7">
        <v>75</v>
      </c>
      <c r="AA959" s="7" t="s">
        <v>76</v>
      </c>
      <c r="AB959" s="7">
        <f>(U959+X959+Z959)/3</f>
        <v>25</v>
      </c>
      <c r="AC959" s="7">
        <f t="shared" si="68"/>
        <v>25</v>
      </c>
      <c r="AD959" s="7"/>
      <c r="AE959" s="7"/>
      <c r="AF959" s="7"/>
      <c r="AG959" s="7"/>
      <c r="AH959" s="7"/>
      <c r="AI959" s="7"/>
      <c r="AJ959" s="10" t="s">
        <v>2376</v>
      </c>
      <c r="AK959" s="7"/>
      <c r="AL959" s="9"/>
      <c r="AM959" s="7" t="s">
        <v>71</v>
      </c>
      <c r="AN959" s="7" t="s">
        <v>71</v>
      </c>
      <c r="AO959" s="12"/>
    </row>
    <row r="960" spans="1:41" s="11" customFormat="1" x14ac:dyDescent="0.25">
      <c r="A960" s="2">
        <v>959</v>
      </c>
      <c r="B960" s="7" t="s">
        <v>832</v>
      </c>
      <c r="C960" s="7" t="s">
        <v>50</v>
      </c>
      <c r="D960" s="7">
        <v>34</v>
      </c>
      <c r="E960" s="7">
        <v>34</v>
      </c>
      <c r="F960" s="8">
        <v>1</v>
      </c>
      <c r="G960" s="8">
        <v>1</v>
      </c>
      <c r="H960" s="7">
        <v>1</v>
      </c>
      <c r="I960" s="7">
        <v>1</v>
      </c>
      <c r="J960" s="9" t="s">
        <v>70</v>
      </c>
      <c r="K960" s="7"/>
      <c r="L960" s="7" t="s">
        <v>52</v>
      </c>
      <c r="M960" s="7">
        <f t="shared" si="67"/>
        <v>1</v>
      </c>
      <c r="N960" s="9"/>
      <c r="O960" s="7"/>
      <c r="P960" s="9"/>
      <c r="Q960" s="7" t="s">
        <v>52</v>
      </c>
      <c r="R960" s="7" t="s">
        <v>38</v>
      </c>
      <c r="S960" s="10" t="s">
        <v>1991</v>
      </c>
      <c r="T960" s="7"/>
      <c r="U960" s="7"/>
      <c r="V960" s="7"/>
      <c r="W960" s="7"/>
      <c r="X960" s="7"/>
      <c r="Y960" s="7">
        <v>40</v>
      </c>
      <c r="Z960" s="7">
        <v>40</v>
      </c>
      <c r="AA960" s="7" t="s">
        <v>76</v>
      </c>
      <c r="AB960" s="7">
        <f>(U960+X960+Z960)/3</f>
        <v>13.333333333333334</v>
      </c>
      <c r="AC960" s="7">
        <f t="shared" si="68"/>
        <v>13.333333333333334</v>
      </c>
      <c r="AD960" s="7"/>
      <c r="AE960" s="7" t="s">
        <v>55</v>
      </c>
      <c r="AF960" s="7" t="s">
        <v>840</v>
      </c>
      <c r="AG960" s="7" t="s">
        <v>841</v>
      </c>
      <c r="AH960" s="7"/>
      <c r="AI960" s="10" t="s">
        <v>2312</v>
      </c>
      <c r="AJ960" s="7"/>
      <c r="AK960" s="7"/>
      <c r="AL960" s="9"/>
      <c r="AM960" s="7" t="s">
        <v>842</v>
      </c>
      <c r="AN960" s="7" t="s">
        <v>2845</v>
      </c>
      <c r="AO960" s="12"/>
    </row>
    <row r="961" spans="1:41" s="11" customFormat="1" x14ac:dyDescent="0.25">
      <c r="A961" s="2">
        <v>960</v>
      </c>
      <c r="B961" s="7" t="s">
        <v>832</v>
      </c>
      <c r="C961" s="7" t="s">
        <v>89</v>
      </c>
      <c r="D961" s="7" t="s">
        <v>843</v>
      </c>
      <c r="E961" s="7">
        <v>59</v>
      </c>
      <c r="F961" s="8">
        <v>3</v>
      </c>
      <c r="G961" s="8">
        <v>3</v>
      </c>
      <c r="H961" s="7" t="s">
        <v>97</v>
      </c>
      <c r="I961" s="7">
        <v>3</v>
      </c>
      <c r="J961" s="9" t="s">
        <v>353</v>
      </c>
      <c r="K961" s="7"/>
      <c r="L961" s="7" t="s">
        <v>38</v>
      </c>
      <c r="M961" s="7">
        <f t="shared" si="67"/>
        <v>0</v>
      </c>
      <c r="N961" s="9"/>
      <c r="O961" s="7"/>
      <c r="P961" s="9"/>
      <c r="Q961" s="7"/>
      <c r="R961" s="7"/>
      <c r="S961" s="7"/>
      <c r="T961" s="7"/>
      <c r="U961" s="7"/>
      <c r="V961" s="7"/>
      <c r="W961" s="7"/>
      <c r="X961" s="7">
        <v>3</v>
      </c>
      <c r="Y961" s="7"/>
      <c r="Z961" s="7"/>
      <c r="AA961" s="7"/>
      <c r="AB961" s="7">
        <f>(U961+X961+Z961)/3</f>
        <v>1</v>
      </c>
      <c r="AC961" s="7">
        <f t="shared" si="68"/>
        <v>0</v>
      </c>
      <c r="AD961" s="7"/>
      <c r="AE961" s="7"/>
      <c r="AF961" s="7"/>
      <c r="AG961" s="7"/>
      <c r="AH961" s="7"/>
      <c r="AI961" s="7"/>
      <c r="AJ961" s="7"/>
      <c r="AK961" s="7"/>
      <c r="AL961" s="9"/>
      <c r="AM961" s="7" t="s">
        <v>71</v>
      </c>
      <c r="AN961" s="7" t="s">
        <v>71</v>
      </c>
      <c r="AO961" s="15" t="s">
        <v>2595</v>
      </c>
    </row>
    <row r="962" spans="1:41" s="11" customFormat="1" x14ac:dyDescent="0.25">
      <c r="A962" s="2">
        <v>961</v>
      </c>
      <c r="B962" s="7" t="s">
        <v>832</v>
      </c>
      <c r="C962" s="7" t="s">
        <v>577</v>
      </c>
      <c r="D962" s="7">
        <v>235</v>
      </c>
      <c r="E962" s="7">
        <v>235</v>
      </c>
      <c r="F962" s="8">
        <v>6</v>
      </c>
      <c r="G962" s="8">
        <v>7</v>
      </c>
      <c r="H962" s="7" t="s">
        <v>122</v>
      </c>
      <c r="I962" s="7">
        <v>7</v>
      </c>
      <c r="J962" s="9" t="s">
        <v>639</v>
      </c>
      <c r="K962" s="7"/>
      <c r="L962" s="7" t="s">
        <v>38</v>
      </c>
      <c r="M962" s="7">
        <f t="shared" ref="M962:M1025" si="72">IF(L962="n",F962,0)</f>
        <v>0</v>
      </c>
      <c r="N962" s="9"/>
      <c r="O962" s="7"/>
      <c r="P962" s="9"/>
      <c r="Q962" s="7"/>
      <c r="R962" s="7"/>
      <c r="S962" s="7"/>
      <c r="T962" s="7"/>
      <c r="U962" s="7"/>
      <c r="V962" s="7"/>
      <c r="W962" s="7"/>
      <c r="X962" s="7"/>
      <c r="Y962" s="7"/>
      <c r="Z962" s="7"/>
      <c r="AA962" s="7"/>
      <c r="AB962" s="7">
        <v>0.33333333333333298</v>
      </c>
      <c r="AC962" s="7">
        <f t="shared" ref="AC962:AC1025" si="73">IF(L962="n",AB962,0)</f>
        <v>0</v>
      </c>
      <c r="AD962" s="7"/>
      <c r="AE962" s="7"/>
      <c r="AF962" s="7"/>
      <c r="AG962" s="7"/>
      <c r="AH962" s="7"/>
      <c r="AI962" s="7"/>
      <c r="AJ962" s="7"/>
      <c r="AK962" s="7"/>
      <c r="AL962" s="9"/>
      <c r="AM962" s="7"/>
      <c r="AN962" s="7"/>
      <c r="AO962" s="15" t="s">
        <v>2596</v>
      </c>
    </row>
    <row r="963" spans="1:41" s="11" customFormat="1" ht="24" x14ac:dyDescent="0.25">
      <c r="A963" s="2">
        <v>962</v>
      </c>
      <c r="B963" s="7" t="s">
        <v>832</v>
      </c>
      <c r="C963" s="7" t="s">
        <v>100</v>
      </c>
      <c r="D963" s="7">
        <v>3</v>
      </c>
      <c r="E963" s="7">
        <v>3</v>
      </c>
      <c r="F963" s="8">
        <v>1</v>
      </c>
      <c r="G963" s="8">
        <v>1</v>
      </c>
      <c r="H963" s="7">
        <v>1</v>
      </c>
      <c r="I963" s="7">
        <v>1</v>
      </c>
      <c r="J963" s="9" t="s">
        <v>77</v>
      </c>
      <c r="K963" s="7">
        <v>1</v>
      </c>
      <c r="L963" s="7" t="s">
        <v>38</v>
      </c>
      <c r="M963" s="7">
        <f t="shared" si="72"/>
        <v>0</v>
      </c>
      <c r="N963" s="9" t="s">
        <v>36</v>
      </c>
      <c r="O963" s="7"/>
      <c r="P963" s="9" t="s">
        <v>37</v>
      </c>
      <c r="Q963" s="7" t="s">
        <v>38</v>
      </c>
      <c r="R963" s="7" t="s">
        <v>38</v>
      </c>
      <c r="S963" s="10" t="s">
        <v>1635</v>
      </c>
      <c r="T963" s="7"/>
      <c r="U963" s="7"/>
      <c r="V963" s="7"/>
      <c r="W963" s="7"/>
      <c r="X963" s="7">
        <v>3</v>
      </c>
      <c r="Y963" s="7"/>
      <c r="Z963" s="7"/>
      <c r="AA963" s="7"/>
      <c r="AB963" s="7">
        <f t="shared" ref="AB963:AB977" si="74">(U963+X963+Z963)/3</f>
        <v>1</v>
      </c>
      <c r="AC963" s="7">
        <f t="shared" si="73"/>
        <v>0</v>
      </c>
      <c r="AD963" s="7"/>
      <c r="AE963" s="7"/>
      <c r="AF963" s="7"/>
      <c r="AG963" s="7"/>
      <c r="AH963" s="7"/>
      <c r="AI963" s="7"/>
      <c r="AJ963" s="7"/>
      <c r="AK963" s="10" t="s">
        <v>2465</v>
      </c>
      <c r="AL963" s="9"/>
      <c r="AM963" s="7" t="s">
        <v>71</v>
      </c>
      <c r="AN963" s="7" t="s">
        <v>71</v>
      </c>
      <c r="AO963" s="12"/>
    </row>
    <row r="964" spans="1:41" s="11" customFormat="1" x14ac:dyDescent="0.25">
      <c r="A964" s="2">
        <v>963</v>
      </c>
      <c r="B964" s="7" t="s">
        <v>832</v>
      </c>
      <c r="C964" s="7" t="s">
        <v>89</v>
      </c>
      <c r="D964" s="7" t="s">
        <v>844</v>
      </c>
      <c r="E964" s="7">
        <f>35+19</f>
        <v>54</v>
      </c>
      <c r="F964" s="8">
        <v>3</v>
      </c>
      <c r="G964" s="8">
        <v>3</v>
      </c>
      <c r="H964" s="7" t="s">
        <v>97</v>
      </c>
      <c r="I964" s="7">
        <v>3</v>
      </c>
      <c r="J964" s="9" t="s">
        <v>77</v>
      </c>
      <c r="K964" s="7">
        <v>1</v>
      </c>
      <c r="L964" s="7" t="s">
        <v>38</v>
      </c>
      <c r="M964" s="7">
        <f t="shared" si="72"/>
        <v>0</v>
      </c>
      <c r="N964" s="9"/>
      <c r="O964" s="7"/>
      <c r="P964" s="9"/>
      <c r="Q964" s="7"/>
      <c r="R964" s="7"/>
      <c r="S964" s="7"/>
      <c r="T964" s="7"/>
      <c r="U964" s="7"/>
      <c r="V964" s="7"/>
      <c r="W964" s="7"/>
      <c r="X964" s="7">
        <v>3</v>
      </c>
      <c r="Y964" s="7"/>
      <c r="Z964" s="7"/>
      <c r="AA964" s="7"/>
      <c r="AB964" s="7">
        <f t="shared" si="74"/>
        <v>1</v>
      </c>
      <c r="AC964" s="7">
        <f t="shared" si="73"/>
        <v>0</v>
      </c>
      <c r="AD964" s="7"/>
      <c r="AE964" s="7"/>
      <c r="AF964" s="7"/>
      <c r="AG964" s="7"/>
      <c r="AH964" s="7"/>
      <c r="AI964" s="7"/>
      <c r="AJ964" s="7"/>
      <c r="AK964" s="7"/>
      <c r="AL964" s="9"/>
      <c r="AM964" s="7" t="s">
        <v>71</v>
      </c>
      <c r="AN964" s="7" t="s">
        <v>71</v>
      </c>
      <c r="AO964" s="12"/>
    </row>
    <row r="965" spans="1:41" s="11" customFormat="1" x14ac:dyDescent="0.25">
      <c r="A965" s="2">
        <v>964</v>
      </c>
      <c r="B965" s="7" t="s">
        <v>832</v>
      </c>
      <c r="C965" s="7" t="s">
        <v>50</v>
      </c>
      <c r="D965" s="7">
        <v>202</v>
      </c>
      <c r="E965" s="7">
        <v>202</v>
      </c>
      <c r="F965" s="8">
        <v>1</v>
      </c>
      <c r="G965" s="8">
        <v>1</v>
      </c>
      <c r="H965" s="7">
        <v>1</v>
      </c>
      <c r="I965" s="7">
        <v>1</v>
      </c>
      <c r="J965" s="9" t="s">
        <v>176</v>
      </c>
      <c r="K965" s="7">
        <v>3</v>
      </c>
      <c r="L965" s="7" t="s">
        <v>52</v>
      </c>
      <c r="M965" s="7">
        <f t="shared" si="72"/>
        <v>1</v>
      </c>
      <c r="N965" s="9" t="s">
        <v>177</v>
      </c>
      <c r="O965" s="7">
        <v>0</v>
      </c>
      <c r="P965" s="9" t="s">
        <v>63</v>
      </c>
      <c r="Q965" s="7" t="s">
        <v>38</v>
      </c>
      <c r="R965" s="7" t="s">
        <v>52</v>
      </c>
      <c r="S965" s="10" t="s">
        <v>1960</v>
      </c>
      <c r="T965" s="7"/>
      <c r="U965" s="7"/>
      <c r="V965" s="7"/>
      <c r="W965" s="7"/>
      <c r="X965" s="7"/>
      <c r="Y965" s="7">
        <v>100</v>
      </c>
      <c r="Z965" s="7">
        <v>100</v>
      </c>
      <c r="AA965" s="7">
        <v>91</v>
      </c>
      <c r="AB965" s="7">
        <f t="shared" si="74"/>
        <v>33.333333333333336</v>
      </c>
      <c r="AC965" s="7">
        <f t="shared" si="73"/>
        <v>33.333333333333336</v>
      </c>
      <c r="AD965" s="7"/>
      <c r="AE965" s="7"/>
      <c r="AF965" s="7"/>
      <c r="AG965" s="7"/>
      <c r="AH965" s="7"/>
      <c r="AI965" s="7"/>
      <c r="AJ965" s="10" t="s">
        <v>2377</v>
      </c>
      <c r="AK965" s="7"/>
      <c r="AL965" s="9"/>
      <c r="AM965" s="7" t="s">
        <v>845</v>
      </c>
      <c r="AN965" s="7" t="s">
        <v>2848</v>
      </c>
      <c r="AO965" s="12"/>
    </row>
    <row r="966" spans="1:41" s="11" customFormat="1" ht="24" x14ac:dyDescent="0.25">
      <c r="A966" s="2">
        <v>965</v>
      </c>
      <c r="B966" s="7" t="s">
        <v>832</v>
      </c>
      <c r="C966" s="7" t="s">
        <v>78</v>
      </c>
      <c r="D966" s="7">
        <v>45</v>
      </c>
      <c r="E966" s="7">
        <v>45</v>
      </c>
      <c r="F966" s="8">
        <v>1</v>
      </c>
      <c r="G966" s="8">
        <v>1</v>
      </c>
      <c r="H966" s="7">
        <v>1</v>
      </c>
      <c r="I966" s="7">
        <v>1</v>
      </c>
      <c r="J966" s="9" t="s">
        <v>176</v>
      </c>
      <c r="K966" s="7">
        <v>3</v>
      </c>
      <c r="L966" s="7" t="s">
        <v>52</v>
      </c>
      <c r="M966" s="7">
        <f t="shared" si="72"/>
        <v>1</v>
      </c>
      <c r="N966" s="9" t="s">
        <v>177</v>
      </c>
      <c r="O966" s="7">
        <v>0</v>
      </c>
      <c r="P966" s="9" t="s">
        <v>63</v>
      </c>
      <c r="Q966" s="7" t="s">
        <v>38</v>
      </c>
      <c r="R966" s="7" t="s">
        <v>38</v>
      </c>
      <c r="S966" s="10" t="s">
        <v>674</v>
      </c>
      <c r="T966" s="7">
        <v>16</v>
      </c>
      <c r="U966" s="7">
        <v>16</v>
      </c>
      <c r="V966" s="7">
        <v>180</v>
      </c>
      <c r="W966" s="7" t="s">
        <v>715</v>
      </c>
      <c r="X966" s="7"/>
      <c r="Y966" s="7"/>
      <c r="Z966" s="7"/>
      <c r="AA966" s="7"/>
      <c r="AB966" s="7">
        <f t="shared" si="74"/>
        <v>5.333333333333333</v>
      </c>
      <c r="AC966" s="7">
        <f t="shared" si="73"/>
        <v>5.333333333333333</v>
      </c>
      <c r="AD966" s="7"/>
      <c r="AE966" s="7"/>
      <c r="AF966" s="7"/>
      <c r="AG966" s="7"/>
      <c r="AH966" s="7"/>
      <c r="AI966" s="7"/>
      <c r="AJ966" s="7"/>
      <c r="AK966" s="7"/>
      <c r="AL966" s="9"/>
      <c r="AM966" s="7" t="s">
        <v>215</v>
      </c>
      <c r="AN966" s="7" t="s">
        <v>2850</v>
      </c>
      <c r="AO966" s="12"/>
    </row>
    <row r="967" spans="1:41" s="11" customFormat="1" ht="24" x14ac:dyDescent="0.25">
      <c r="A967" s="2">
        <v>966</v>
      </c>
      <c r="B967" s="7" t="s">
        <v>832</v>
      </c>
      <c r="C967" s="7" t="s">
        <v>78</v>
      </c>
      <c r="D967" s="7">
        <v>15</v>
      </c>
      <c r="E967" s="7">
        <v>15</v>
      </c>
      <c r="F967" s="8">
        <v>1</v>
      </c>
      <c r="G967" s="8">
        <v>1</v>
      </c>
      <c r="H967" s="7">
        <v>1</v>
      </c>
      <c r="I967" s="7">
        <v>1</v>
      </c>
      <c r="J967" s="9" t="s">
        <v>176</v>
      </c>
      <c r="K967" s="7">
        <v>3</v>
      </c>
      <c r="L967" s="7" t="s">
        <v>52</v>
      </c>
      <c r="M967" s="7">
        <f t="shared" si="72"/>
        <v>1</v>
      </c>
      <c r="N967" s="9" t="s">
        <v>177</v>
      </c>
      <c r="O967" s="7">
        <v>0</v>
      </c>
      <c r="P967" s="9" t="s">
        <v>63</v>
      </c>
      <c r="Q967" s="7" t="s">
        <v>38</v>
      </c>
      <c r="R967" s="7" t="s">
        <v>52</v>
      </c>
      <c r="S967" s="10" t="s">
        <v>1992</v>
      </c>
      <c r="T967" s="7">
        <v>5</v>
      </c>
      <c r="U967" s="7">
        <v>5</v>
      </c>
      <c r="V967" s="7">
        <v>150</v>
      </c>
      <c r="W967" s="7" t="s">
        <v>846</v>
      </c>
      <c r="X967" s="7"/>
      <c r="Y967" s="7"/>
      <c r="Z967" s="7"/>
      <c r="AA967" s="7"/>
      <c r="AB967" s="7">
        <f t="shared" si="74"/>
        <v>1.6666666666666667</v>
      </c>
      <c r="AC967" s="7">
        <f t="shared" si="73"/>
        <v>1.6666666666666667</v>
      </c>
      <c r="AD967" s="7"/>
      <c r="AE967" s="7"/>
      <c r="AF967" s="7"/>
      <c r="AG967" s="7"/>
      <c r="AH967" s="7"/>
      <c r="AI967" s="7"/>
      <c r="AJ967" s="7"/>
      <c r="AK967" s="7"/>
      <c r="AL967" s="9"/>
      <c r="AM967" s="7" t="s">
        <v>215</v>
      </c>
      <c r="AN967" s="7" t="s">
        <v>2852</v>
      </c>
      <c r="AO967" s="12"/>
    </row>
    <row r="968" spans="1:41" s="11" customFormat="1" x14ac:dyDescent="0.25">
      <c r="A968" s="2">
        <v>967</v>
      </c>
      <c r="B968" s="7" t="s">
        <v>847</v>
      </c>
      <c r="C968" s="7" t="s">
        <v>100</v>
      </c>
      <c r="D968" s="7">
        <v>20</v>
      </c>
      <c r="E968" s="7">
        <v>20</v>
      </c>
      <c r="F968" s="8">
        <v>1</v>
      </c>
      <c r="G968" s="8">
        <v>1</v>
      </c>
      <c r="H968" s="7">
        <v>1</v>
      </c>
      <c r="I968" s="7">
        <v>1</v>
      </c>
      <c r="J968" s="9" t="s">
        <v>35</v>
      </c>
      <c r="K968" s="7">
        <v>1</v>
      </c>
      <c r="L968" s="7" t="s">
        <v>52</v>
      </c>
      <c r="M968" s="7">
        <f t="shared" si="72"/>
        <v>1</v>
      </c>
      <c r="N968" s="9" t="s">
        <v>34</v>
      </c>
      <c r="O968" s="7">
        <v>0</v>
      </c>
      <c r="P968" s="9" t="s">
        <v>63</v>
      </c>
      <c r="Q968" s="7" t="s">
        <v>38</v>
      </c>
      <c r="R968" s="7" t="s">
        <v>38</v>
      </c>
      <c r="S968" s="10" t="s">
        <v>1718</v>
      </c>
      <c r="T968" s="7"/>
      <c r="U968" s="7"/>
      <c r="V968" s="7"/>
      <c r="W968" s="7"/>
      <c r="X968" s="7">
        <v>5</v>
      </c>
      <c r="Y968" s="7"/>
      <c r="Z968" s="7"/>
      <c r="AA968" s="7"/>
      <c r="AB968" s="7">
        <f t="shared" si="74"/>
        <v>1.6666666666666667</v>
      </c>
      <c r="AC968" s="7">
        <f t="shared" si="73"/>
        <v>1.6666666666666667</v>
      </c>
      <c r="AD968" s="7"/>
      <c r="AE968" s="7">
        <v>1</v>
      </c>
      <c r="AF968" s="7"/>
      <c r="AG968" s="7" t="s">
        <v>848</v>
      </c>
      <c r="AH968" s="7" t="s">
        <v>38</v>
      </c>
      <c r="AI968" s="7"/>
      <c r="AJ968" s="7"/>
      <c r="AK968" s="7"/>
      <c r="AL968" s="9"/>
      <c r="AM968" s="7" t="s">
        <v>42</v>
      </c>
      <c r="AN968" s="7" t="s">
        <v>42</v>
      </c>
      <c r="AO968" s="12"/>
    </row>
    <row r="969" spans="1:41" s="11" customFormat="1" x14ac:dyDescent="0.25">
      <c r="A969" s="2">
        <v>968</v>
      </c>
      <c r="B969" s="7" t="s">
        <v>847</v>
      </c>
      <c r="C969" s="7" t="s">
        <v>100</v>
      </c>
      <c r="D969" s="7">
        <v>7</v>
      </c>
      <c r="E969" s="7">
        <v>7</v>
      </c>
      <c r="F969" s="8">
        <v>1</v>
      </c>
      <c r="G969" s="8">
        <v>1</v>
      </c>
      <c r="H969" s="7">
        <v>1</v>
      </c>
      <c r="I969" s="7">
        <v>1</v>
      </c>
      <c r="J969" s="9" t="s">
        <v>35</v>
      </c>
      <c r="K969" s="7">
        <v>2</v>
      </c>
      <c r="L969" s="7" t="s">
        <v>52</v>
      </c>
      <c r="M969" s="7">
        <f t="shared" si="72"/>
        <v>1</v>
      </c>
      <c r="N969" s="9"/>
      <c r="O969" s="7"/>
      <c r="P969" s="9"/>
      <c r="Q969" s="7"/>
      <c r="R969" s="7"/>
      <c r="S969" s="7"/>
      <c r="T969" s="7"/>
      <c r="U969" s="7"/>
      <c r="V969" s="7"/>
      <c r="W969" s="7"/>
      <c r="X969" s="7">
        <v>3</v>
      </c>
      <c r="Y969" s="7"/>
      <c r="Z969" s="7"/>
      <c r="AA969" s="7"/>
      <c r="AB969" s="7">
        <f t="shared" si="74"/>
        <v>1</v>
      </c>
      <c r="AC969" s="7">
        <f t="shared" si="73"/>
        <v>1</v>
      </c>
      <c r="AD969" s="7"/>
      <c r="AE969" s="7"/>
      <c r="AF969" s="7"/>
      <c r="AG969" s="7"/>
      <c r="AH969" s="7"/>
      <c r="AI969" s="7"/>
      <c r="AJ969" s="7"/>
      <c r="AK969" s="7"/>
      <c r="AL969" s="9"/>
      <c r="AM969" s="7" t="s">
        <v>71</v>
      </c>
      <c r="AN969" s="7" t="s">
        <v>71</v>
      </c>
      <c r="AO969" s="12"/>
    </row>
    <row r="970" spans="1:41" s="11" customFormat="1" x14ac:dyDescent="0.25">
      <c r="A970" s="2">
        <v>969</v>
      </c>
      <c r="B970" s="7" t="s">
        <v>847</v>
      </c>
      <c r="C970" s="7" t="s">
        <v>50</v>
      </c>
      <c r="D970" s="7">
        <v>26</v>
      </c>
      <c r="E970" s="7">
        <v>26</v>
      </c>
      <c r="F970" s="8">
        <v>1</v>
      </c>
      <c r="G970" s="8">
        <v>1</v>
      </c>
      <c r="H970" s="7">
        <v>1</v>
      </c>
      <c r="I970" s="7">
        <v>1</v>
      </c>
      <c r="J970" s="9" t="s">
        <v>77</v>
      </c>
      <c r="K970" s="7">
        <v>2</v>
      </c>
      <c r="L970" s="7" t="s">
        <v>38</v>
      </c>
      <c r="M970" s="7">
        <f t="shared" si="72"/>
        <v>0</v>
      </c>
      <c r="N970" s="9" t="s">
        <v>34</v>
      </c>
      <c r="O970" s="7">
        <v>1</v>
      </c>
      <c r="P970" s="9" t="s">
        <v>63</v>
      </c>
      <c r="Q970" s="7" t="s">
        <v>38</v>
      </c>
      <c r="R970" s="7" t="s">
        <v>38</v>
      </c>
      <c r="S970" s="10" t="s">
        <v>1993</v>
      </c>
      <c r="T970" s="7"/>
      <c r="U970" s="7"/>
      <c r="V970" s="7"/>
      <c r="W970" s="7"/>
      <c r="X970" s="7"/>
      <c r="Y970" s="7">
        <v>12</v>
      </c>
      <c r="Z970" s="7">
        <v>12</v>
      </c>
      <c r="AA970" s="7">
        <v>80</v>
      </c>
      <c r="AB970" s="7">
        <f t="shared" si="74"/>
        <v>4</v>
      </c>
      <c r="AC970" s="7">
        <f t="shared" si="73"/>
        <v>0</v>
      </c>
      <c r="AD970" s="7"/>
      <c r="AE970" s="7">
        <v>1</v>
      </c>
      <c r="AF970" s="7" t="s">
        <v>40</v>
      </c>
      <c r="AG970" s="7" t="s">
        <v>849</v>
      </c>
      <c r="AH970" s="7"/>
      <c r="AI970" s="7"/>
      <c r="AJ970" s="7"/>
      <c r="AK970" s="7"/>
      <c r="AL970" s="9"/>
      <c r="AM970" s="7" t="s">
        <v>42</v>
      </c>
      <c r="AN970" s="7" t="s">
        <v>42</v>
      </c>
      <c r="AO970" s="12" t="s">
        <v>491</v>
      </c>
    </row>
    <row r="971" spans="1:41" s="11" customFormat="1" x14ac:dyDescent="0.25">
      <c r="A971" s="2">
        <v>970</v>
      </c>
      <c r="B971" s="7" t="s">
        <v>847</v>
      </c>
      <c r="C971" s="7" t="s">
        <v>100</v>
      </c>
      <c r="D971" s="7">
        <v>4</v>
      </c>
      <c r="E971" s="7">
        <v>4</v>
      </c>
      <c r="F971" s="8">
        <v>1</v>
      </c>
      <c r="G971" s="8">
        <v>1</v>
      </c>
      <c r="H971" s="7">
        <v>1</v>
      </c>
      <c r="I971" s="7">
        <v>1</v>
      </c>
      <c r="J971" s="9" t="s">
        <v>77</v>
      </c>
      <c r="K971" s="7">
        <v>1</v>
      </c>
      <c r="L971" s="7" t="s">
        <v>38</v>
      </c>
      <c r="M971" s="7">
        <f t="shared" si="72"/>
        <v>0</v>
      </c>
      <c r="N971" s="9"/>
      <c r="O971" s="7"/>
      <c r="P971" s="9"/>
      <c r="Q971" s="7"/>
      <c r="R971" s="7"/>
      <c r="S971" s="7"/>
      <c r="T971" s="7"/>
      <c r="U971" s="7"/>
      <c r="V971" s="7"/>
      <c r="W971" s="7"/>
      <c r="X971" s="7">
        <v>3</v>
      </c>
      <c r="Y971" s="7"/>
      <c r="Z971" s="7"/>
      <c r="AA971" s="7"/>
      <c r="AB971" s="7">
        <f t="shared" si="74"/>
        <v>1</v>
      </c>
      <c r="AC971" s="7">
        <f t="shared" si="73"/>
        <v>0</v>
      </c>
      <c r="AD971" s="7"/>
      <c r="AE971" s="7"/>
      <c r="AF971" s="7"/>
      <c r="AG971" s="7"/>
      <c r="AH971" s="7"/>
      <c r="AI971" s="7"/>
      <c r="AJ971" s="7"/>
      <c r="AK971" s="7"/>
      <c r="AL971" s="9"/>
      <c r="AM971" s="7" t="s">
        <v>71</v>
      </c>
      <c r="AN971" s="7" t="s">
        <v>71</v>
      </c>
      <c r="AO971" s="12"/>
    </row>
    <row r="972" spans="1:41" s="11" customFormat="1" x14ac:dyDescent="0.25">
      <c r="A972" s="2">
        <v>971</v>
      </c>
      <c r="B972" s="7" t="s">
        <v>847</v>
      </c>
      <c r="C972" s="7" t="s">
        <v>89</v>
      </c>
      <c r="D972" s="7" t="s">
        <v>850</v>
      </c>
      <c r="E972" s="7">
        <v>12</v>
      </c>
      <c r="F972" s="8">
        <v>3</v>
      </c>
      <c r="G972" s="8">
        <v>3</v>
      </c>
      <c r="H972" s="7" t="s">
        <v>97</v>
      </c>
      <c r="I972" s="7">
        <v>3</v>
      </c>
      <c r="J972" s="9" t="s">
        <v>70</v>
      </c>
      <c r="K972" s="7">
        <v>2</v>
      </c>
      <c r="L972" s="7" t="s">
        <v>52</v>
      </c>
      <c r="M972" s="7">
        <f t="shared" si="72"/>
        <v>3</v>
      </c>
      <c r="N972" s="9"/>
      <c r="O972" s="7"/>
      <c r="P972" s="9"/>
      <c r="Q972" s="7"/>
      <c r="R972" s="7"/>
      <c r="S972" s="7"/>
      <c r="T972" s="7"/>
      <c r="U972" s="7"/>
      <c r="V972" s="7"/>
      <c r="W972" s="7"/>
      <c r="X972" s="7">
        <v>3</v>
      </c>
      <c r="Y972" s="7"/>
      <c r="Z972" s="7"/>
      <c r="AA972" s="7"/>
      <c r="AB972" s="7">
        <f t="shared" si="74"/>
        <v>1</v>
      </c>
      <c r="AC972" s="7">
        <f t="shared" si="73"/>
        <v>1</v>
      </c>
      <c r="AD972" s="7"/>
      <c r="AE972" s="7"/>
      <c r="AF972" s="7"/>
      <c r="AG972" s="7"/>
      <c r="AH972" s="7"/>
      <c r="AI972" s="7"/>
      <c r="AJ972" s="7"/>
      <c r="AK972" s="7"/>
      <c r="AL972" s="9"/>
      <c r="AM972" s="7" t="s">
        <v>71</v>
      </c>
      <c r="AN972" s="7" t="s">
        <v>71</v>
      </c>
      <c r="AO972" s="12"/>
    </row>
    <row r="973" spans="1:41" s="11" customFormat="1" x14ac:dyDescent="0.25">
      <c r="A973" s="2">
        <v>972</v>
      </c>
      <c r="B973" s="7" t="s">
        <v>847</v>
      </c>
      <c r="C973" s="7" t="s">
        <v>100</v>
      </c>
      <c r="D973" s="7">
        <v>3</v>
      </c>
      <c r="E973" s="7">
        <v>3</v>
      </c>
      <c r="F973" s="8">
        <v>1</v>
      </c>
      <c r="G973" s="8">
        <v>1</v>
      </c>
      <c r="H973" s="7">
        <v>1</v>
      </c>
      <c r="I973" s="7">
        <v>1</v>
      </c>
      <c r="J973" s="9" t="s">
        <v>70</v>
      </c>
      <c r="K973" s="7">
        <v>1</v>
      </c>
      <c r="L973" s="7" t="s">
        <v>52</v>
      </c>
      <c r="M973" s="7">
        <f t="shared" si="72"/>
        <v>1</v>
      </c>
      <c r="N973" s="9"/>
      <c r="O973" s="7"/>
      <c r="P973" s="9"/>
      <c r="Q973" s="7"/>
      <c r="R973" s="7"/>
      <c r="S973" s="7"/>
      <c r="T973" s="7"/>
      <c r="U973" s="7"/>
      <c r="V973" s="7"/>
      <c r="W973" s="7"/>
      <c r="X973" s="7">
        <v>3</v>
      </c>
      <c r="Y973" s="7"/>
      <c r="Z973" s="7"/>
      <c r="AA973" s="7"/>
      <c r="AB973" s="7">
        <f t="shared" si="74"/>
        <v>1</v>
      </c>
      <c r="AC973" s="7">
        <f t="shared" si="73"/>
        <v>1</v>
      </c>
      <c r="AD973" s="7"/>
      <c r="AE973" s="7"/>
      <c r="AF973" s="7"/>
      <c r="AG973" s="7"/>
      <c r="AH973" s="7"/>
      <c r="AI973" s="7"/>
      <c r="AJ973" s="7"/>
      <c r="AK973" s="7"/>
      <c r="AL973" s="9"/>
      <c r="AM973" s="7" t="s">
        <v>71</v>
      </c>
      <c r="AN973" s="7" t="s">
        <v>71</v>
      </c>
      <c r="AO973" s="12"/>
    </row>
    <row r="974" spans="1:41" s="11" customFormat="1" x14ac:dyDescent="0.25">
      <c r="A974" s="2">
        <v>973</v>
      </c>
      <c r="B974" s="7" t="s">
        <v>847</v>
      </c>
      <c r="C974" s="7" t="s">
        <v>89</v>
      </c>
      <c r="D974" s="7" t="s">
        <v>851</v>
      </c>
      <c r="E974" s="7">
        <f>87+12+12</f>
        <v>111</v>
      </c>
      <c r="F974" s="8">
        <v>2</v>
      </c>
      <c r="G974" s="8">
        <v>5</v>
      </c>
      <c r="H974" s="7" t="s">
        <v>345</v>
      </c>
      <c r="I974" s="7">
        <v>5</v>
      </c>
      <c r="J974" s="9" t="s">
        <v>353</v>
      </c>
      <c r="K974" s="7"/>
      <c r="L974" s="7" t="s">
        <v>38</v>
      </c>
      <c r="M974" s="7">
        <f t="shared" si="72"/>
        <v>0</v>
      </c>
      <c r="N974" s="9"/>
      <c r="O974" s="7"/>
      <c r="P974" s="9"/>
      <c r="Q974" s="7"/>
      <c r="R974" s="7"/>
      <c r="S974" s="7"/>
      <c r="T974" s="7"/>
      <c r="U974" s="7"/>
      <c r="V974" s="7"/>
      <c r="W974" s="7"/>
      <c r="X974" s="7">
        <v>3</v>
      </c>
      <c r="Y974" s="7"/>
      <c r="Z974" s="7"/>
      <c r="AA974" s="7"/>
      <c r="AB974" s="7">
        <f t="shared" si="74"/>
        <v>1</v>
      </c>
      <c r="AC974" s="7">
        <f t="shared" si="73"/>
        <v>0</v>
      </c>
      <c r="AD974" s="7"/>
      <c r="AE974" s="7"/>
      <c r="AF974" s="7"/>
      <c r="AG974" s="7"/>
      <c r="AH974" s="7"/>
      <c r="AI974" s="7"/>
      <c r="AJ974" s="7"/>
      <c r="AK974" s="7"/>
      <c r="AL974" s="9"/>
      <c r="AM974" s="7" t="s">
        <v>71</v>
      </c>
      <c r="AN974" s="7" t="s">
        <v>71</v>
      </c>
      <c r="AO974" s="15" t="s">
        <v>2593</v>
      </c>
    </row>
    <row r="975" spans="1:41" s="11" customFormat="1" x14ac:dyDescent="0.25">
      <c r="A975" s="2">
        <v>974</v>
      </c>
      <c r="B975" s="7" t="s">
        <v>847</v>
      </c>
      <c r="C975" s="7" t="s">
        <v>100</v>
      </c>
      <c r="D975" s="7">
        <v>18</v>
      </c>
      <c r="E975" s="7">
        <v>18</v>
      </c>
      <c r="F975" s="8">
        <v>1</v>
      </c>
      <c r="G975" s="8">
        <v>1</v>
      </c>
      <c r="H975" s="7">
        <v>1</v>
      </c>
      <c r="I975" s="7">
        <v>1</v>
      </c>
      <c r="J975" s="9" t="s">
        <v>219</v>
      </c>
      <c r="K975" s="9" t="s">
        <v>852</v>
      </c>
      <c r="L975" s="7" t="s">
        <v>52</v>
      </c>
      <c r="M975" s="7">
        <f t="shared" si="72"/>
        <v>1</v>
      </c>
      <c r="N975" s="9"/>
      <c r="O975" s="7"/>
      <c r="P975" s="9"/>
      <c r="Q975" s="7"/>
      <c r="R975" s="7"/>
      <c r="S975" s="7"/>
      <c r="T975" s="7"/>
      <c r="U975" s="7"/>
      <c r="V975" s="7"/>
      <c r="W975" s="7"/>
      <c r="X975" s="7">
        <v>3</v>
      </c>
      <c r="Y975" s="7"/>
      <c r="Z975" s="7"/>
      <c r="AA975" s="7"/>
      <c r="AB975" s="7">
        <f t="shared" si="74"/>
        <v>1</v>
      </c>
      <c r="AC975" s="7">
        <f t="shared" si="73"/>
        <v>1</v>
      </c>
      <c r="AD975" s="7"/>
      <c r="AE975" s="7"/>
      <c r="AF975" s="7"/>
      <c r="AG975" s="7"/>
      <c r="AH975" s="7"/>
      <c r="AI975" s="7"/>
      <c r="AJ975" s="7"/>
      <c r="AK975" s="7"/>
      <c r="AL975" s="9"/>
      <c r="AM975" s="7" t="s">
        <v>71</v>
      </c>
      <c r="AN975" s="7" t="s">
        <v>71</v>
      </c>
      <c r="AO975" s="12"/>
    </row>
    <row r="976" spans="1:41" s="11" customFormat="1" x14ac:dyDescent="0.25">
      <c r="A976" s="2">
        <v>975</v>
      </c>
      <c r="B976" s="7" t="s">
        <v>847</v>
      </c>
      <c r="C976" s="7" t="s">
        <v>100</v>
      </c>
      <c r="D976" s="7">
        <v>28</v>
      </c>
      <c r="E976" s="7">
        <v>28</v>
      </c>
      <c r="F976" s="8">
        <v>1</v>
      </c>
      <c r="G976" s="8">
        <v>1</v>
      </c>
      <c r="H976" s="7">
        <v>1</v>
      </c>
      <c r="I976" s="7">
        <v>1</v>
      </c>
      <c r="J976" s="9" t="s">
        <v>219</v>
      </c>
      <c r="K976" s="7">
        <v>1</v>
      </c>
      <c r="L976" s="7" t="s">
        <v>52</v>
      </c>
      <c r="M976" s="7">
        <f t="shared" si="72"/>
        <v>1</v>
      </c>
      <c r="N976" s="9" t="s">
        <v>34</v>
      </c>
      <c r="O976" s="7">
        <v>0</v>
      </c>
      <c r="P976" s="9" t="s">
        <v>37</v>
      </c>
      <c r="Q976" s="7" t="s">
        <v>38</v>
      </c>
      <c r="R976" s="7" t="s">
        <v>38</v>
      </c>
      <c r="S976" s="7"/>
      <c r="T976" s="7"/>
      <c r="U976" s="7"/>
      <c r="V976" s="7"/>
      <c r="W976" s="7"/>
      <c r="X976" s="7">
        <v>3</v>
      </c>
      <c r="Y976" s="7"/>
      <c r="Z976" s="7"/>
      <c r="AA976" s="7"/>
      <c r="AB976" s="7">
        <f t="shared" si="74"/>
        <v>1</v>
      </c>
      <c r="AC976" s="7">
        <f t="shared" si="73"/>
        <v>1</v>
      </c>
      <c r="AD976" s="7"/>
      <c r="AE976" s="7">
        <v>1</v>
      </c>
      <c r="AF976" s="7"/>
      <c r="AG976" s="7" t="s">
        <v>155</v>
      </c>
      <c r="AH976" s="7"/>
      <c r="AI976" s="7"/>
      <c r="AJ976" s="7"/>
      <c r="AK976" s="7"/>
      <c r="AL976" s="9"/>
      <c r="AM976" s="7" t="s">
        <v>71</v>
      </c>
      <c r="AN976" s="7" t="s">
        <v>71</v>
      </c>
      <c r="AO976" s="12"/>
    </row>
    <row r="977" spans="1:41" s="11" customFormat="1" x14ac:dyDescent="0.25">
      <c r="A977" s="2">
        <v>976</v>
      </c>
      <c r="B977" s="7" t="s">
        <v>847</v>
      </c>
      <c r="C977" s="7" t="s">
        <v>89</v>
      </c>
      <c r="D977" s="7" t="s">
        <v>853</v>
      </c>
      <c r="E977" s="7">
        <v>14</v>
      </c>
      <c r="F977" s="8">
        <v>1</v>
      </c>
      <c r="G977" s="8">
        <v>2</v>
      </c>
      <c r="H977" s="7" t="s">
        <v>87</v>
      </c>
      <c r="I977" s="7">
        <v>2</v>
      </c>
      <c r="J977" s="9" t="s">
        <v>219</v>
      </c>
      <c r="K977" s="7">
        <v>1</v>
      </c>
      <c r="L977" s="7" t="s">
        <v>52</v>
      </c>
      <c r="M977" s="7">
        <f t="shared" si="72"/>
        <v>1</v>
      </c>
      <c r="N977" s="9"/>
      <c r="O977" s="7"/>
      <c r="P977" s="9"/>
      <c r="Q977" s="7"/>
      <c r="R977" s="7"/>
      <c r="S977" s="7"/>
      <c r="T977" s="7"/>
      <c r="U977" s="7"/>
      <c r="V977" s="7"/>
      <c r="W977" s="7"/>
      <c r="X977" s="7">
        <v>3</v>
      </c>
      <c r="Y977" s="7"/>
      <c r="Z977" s="7"/>
      <c r="AA977" s="7"/>
      <c r="AB977" s="7">
        <f t="shared" si="74"/>
        <v>1</v>
      </c>
      <c r="AC977" s="7">
        <f t="shared" si="73"/>
        <v>1</v>
      </c>
      <c r="AD977" s="7"/>
      <c r="AE977" s="7"/>
      <c r="AF977" s="7"/>
      <c r="AG977" s="7"/>
      <c r="AH977" s="7"/>
      <c r="AI977" s="7"/>
      <c r="AJ977" s="7"/>
      <c r="AK977" s="7"/>
      <c r="AL977" s="9"/>
      <c r="AM977" s="7" t="s">
        <v>71</v>
      </c>
      <c r="AN977" s="7" t="s">
        <v>71</v>
      </c>
      <c r="AO977" s="12"/>
    </row>
    <row r="978" spans="1:41" s="11" customFormat="1" x14ac:dyDescent="0.25">
      <c r="A978" s="2">
        <v>977</v>
      </c>
      <c r="B978" s="7" t="s">
        <v>847</v>
      </c>
      <c r="C978" s="7" t="s">
        <v>577</v>
      </c>
      <c r="D978" s="7">
        <v>78</v>
      </c>
      <c r="E978" s="7">
        <v>78</v>
      </c>
      <c r="F978" s="8">
        <v>3</v>
      </c>
      <c r="G978" s="8">
        <v>3</v>
      </c>
      <c r="H978" s="7" t="s">
        <v>97</v>
      </c>
      <c r="I978" s="7">
        <v>3</v>
      </c>
      <c r="J978" s="9" t="s">
        <v>639</v>
      </c>
      <c r="K978" s="7"/>
      <c r="L978" s="7" t="s">
        <v>38</v>
      </c>
      <c r="M978" s="7">
        <f t="shared" si="72"/>
        <v>0</v>
      </c>
      <c r="N978" s="9"/>
      <c r="O978" s="7"/>
      <c r="P978" s="9"/>
      <c r="Q978" s="7"/>
      <c r="R978" s="7"/>
      <c r="S978" s="7"/>
      <c r="T978" s="7"/>
      <c r="U978" s="7"/>
      <c r="V978" s="7"/>
      <c r="W978" s="7"/>
      <c r="X978" s="7"/>
      <c r="Y978" s="7"/>
      <c r="Z978" s="7"/>
      <c r="AA978" s="7"/>
      <c r="AB978" s="7">
        <v>0.33333333333333298</v>
      </c>
      <c r="AC978" s="7">
        <f t="shared" si="73"/>
        <v>0</v>
      </c>
      <c r="AD978" s="7"/>
      <c r="AE978" s="7"/>
      <c r="AF978" s="7"/>
      <c r="AG978" s="7"/>
      <c r="AH978" s="7"/>
      <c r="AI978" s="7"/>
      <c r="AJ978" s="7"/>
      <c r="AK978" s="7"/>
      <c r="AL978" s="9"/>
      <c r="AM978" s="7"/>
      <c r="AN978" s="7"/>
      <c r="AO978" s="15" t="s">
        <v>2597</v>
      </c>
    </row>
    <row r="979" spans="1:41" s="11" customFormat="1" x14ac:dyDescent="0.25">
      <c r="A979" s="2">
        <v>978</v>
      </c>
      <c r="B979" s="7" t="s">
        <v>847</v>
      </c>
      <c r="C979" s="7" t="s">
        <v>78</v>
      </c>
      <c r="D979" s="7">
        <v>21</v>
      </c>
      <c r="E979" s="7">
        <v>21</v>
      </c>
      <c r="F979" s="8">
        <v>1</v>
      </c>
      <c r="G979" s="8">
        <v>1</v>
      </c>
      <c r="H979" s="7">
        <v>1</v>
      </c>
      <c r="I979" s="7">
        <v>1</v>
      </c>
      <c r="J979" s="9" t="s">
        <v>353</v>
      </c>
      <c r="K979" s="7"/>
      <c r="L979" s="7" t="s">
        <v>52</v>
      </c>
      <c r="M979" s="7">
        <f t="shared" si="72"/>
        <v>1</v>
      </c>
      <c r="N979" s="9" t="s">
        <v>34</v>
      </c>
      <c r="O979" s="7">
        <v>0</v>
      </c>
      <c r="P979" s="9" t="s">
        <v>33</v>
      </c>
      <c r="Q979" s="7" t="s">
        <v>38</v>
      </c>
      <c r="R979" s="7" t="s">
        <v>38</v>
      </c>
      <c r="S979" s="10" t="s">
        <v>1994</v>
      </c>
      <c r="T979" s="7">
        <v>20</v>
      </c>
      <c r="U979" s="7">
        <v>20</v>
      </c>
      <c r="V979" s="7">
        <v>170</v>
      </c>
      <c r="W979" s="7" t="s">
        <v>79</v>
      </c>
      <c r="X979" s="7"/>
      <c r="Y979" s="7"/>
      <c r="Z979" s="7"/>
      <c r="AA979" s="7"/>
      <c r="AB979" s="7">
        <f>(U979+X979+Z979)/3</f>
        <v>6.666666666666667</v>
      </c>
      <c r="AC979" s="7">
        <f t="shared" si="73"/>
        <v>6.666666666666667</v>
      </c>
      <c r="AD979" s="7"/>
      <c r="AE979" s="7"/>
      <c r="AF979" s="7"/>
      <c r="AG979" s="7"/>
      <c r="AH979" s="7"/>
      <c r="AI979" s="7"/>
      <c r="AJ979" s="7"/>
      <c r="AK979" s="7"/>
      <c r="AL979" s="9"/>
      <c r="AM979" s="7" t="s">
        <v>854</v>
      </c>
      <c r="AN979" s="7" t="s">
        <v>2849</v>
      </c>
      <c r="AO979" s="12"/>
    </row>
    <row r="980" spans="1:41" s="11" customFormat="1" x14ac:dyDescent="0.25">
      <c r="A980" s="2">
        <v>979</v>
      </c>
      <c r="B980" s="7" t="s">
        <v>847</v>
      </c>
      <c r="C980" s="7" t="s">
        <v>119</v>
      </c>
      <c r="D980" s="7">
        <v>61</v>
      </c>
      <c r="E980" s="7">
        <v>61</v>
      </c>
      <c r="F980" s="8">
        <v>1</v>
      </c>
      <c r="G980" s="8">
        <v>1</v>
      </c>
      <c r="H980" s="7">
        <v>1</v>
      </c>
      <c r="I980" s="7">
        <v>1</v>
      </c>
      <c r="J980" s="9" t="s">
        <v>353</v>
      </c>
      <c r="K980" s="7"/>
      <c r="L980" s="7" t="s">
        <v>38</v>
      </c>
      <c r="M980" s="7">
        <f t="shared" si="72"/>
        <v>0</v>
      </c>
      <c r="N980" s="9" t="s">
        <v>82</v>
      </c>
      <c r="O980" s="7">
        <v>0</v>
      </c>
      <c r="P980" s="9" t="s">
        <v>36</v>
      </c>
      <c r="Q980" s="7"/>
      <c r="R980" s="7" t="s">
        <v>38</v>
      </c>
      <c r="S980" s="10" t="s">
        <v>1995</v>
      </c>
      <c r="T980" s="7"/>
      <c r="U980" s="7"/>
      <c r="V980" s="7"/>
      <c r="W980" s="7"/>
      <c r="X980" s="7"/>
      <c r="Y980" s="7"/>
      <c r="Z980" s="7"/>
      <c r="AA980" s="7"/>
      <c r="AB980" s="7">
        <v>0.33333333333333298</v>
      </c>
      <c r="AC980" s="7">
        <f t="shared" si="73"/>
        <v>0</v>
      </c>
      <c r="AD980" s="7"/>
      <c r="AE980" s="7"/>
      <c r="AF980" s="7" t="s">
        <v>155</v>
      </c>
      <c r="AG980" s="7" t="s">
        <v>133</v>
      </c>
      <c r="AH980" s="7"/>
      <c r="AI980" s="7"/>
      <c r="AJ980" s="7"/>
      <c r="AK980" s="7"/>
      <c r="AL980" s="9"/>
      <c r="AM980" s="7" t="s">
        <v>71</v>
      </c>
      <c r="AN980" s="7" t="s">
        <v>71</v>
      </c>
      <c r="AO980" s="15" t="s">
        <v>2598</v>
      </c>
    </row>
    <row r="981" spans="1:41" s="11" customFormat="1" x14ac:dyDescent="0.25">
      <c r="A981" s="2">
        <v>980</v>
      </c>
      <c r="B981" s="7" t="s">
        <v>31</v>
      </c>
      <c r="C981" s="7" t="s">
        <v>100</v>
      </c>
      <c r="D981" s="7">
        <v>9</v>
      </c>
      <c r="E981" s="7">
        <v>9</v>
      </c>
      <c r="F981" s="8">
        <v>1</v>
      </c>
      <c r="G981" s="8">
        <v>1</v>
      </c>
      <c r="H981" s="7">
        <v>1</v>
      </c>
      <c r="I981" s="7">
        <v>1</v>
      </c>
      <c r="J981" s="9" t="s">
        <v>77</v>
      </c>
      <c r="K981" s="7">
        <v>1</v>
      </c>
      <c r="L981" s="7" t="s">
        <v>38</v>
      </c>
      <c r="M981" s="7">
        <f t="shared" si="72"/>
        <v>0</v>
      </c>
      <c r="N981" s="9" t="s">
        <v>82</v>
      </c>
      <c r="O981" s="7">
        <v>0</v>
      </c>
      <c r="P981" s="9" t="s">
        <v>36</v>
      </c>
      <c r="Q981" s="7" t="s">
        <v>38</v>
      </c>
      <c r="R981" s="7" t="s">
        <v>38</v>
      </c>
      <c r="S981" s="10" t="s">
        <v>1996</v>
      </c>
      <c r="T981" s="7"/>
      <c r="U981" s="7"/>
      <c r="V981" s="7"/>
      <c r="W981" s="7"/>
      <c r="X981" s="7">
        <v>3</v>
      </c>
      <c r="Y981" s="7"/>
      <c r="Z981" s="7"/>
      <c r="AA981" s="7"/>
      <c r="AB981" s="7">
        <f t="shared" ref="AB981:AB986" si="75">(U981+X981+Z981)/3</f>
        <v>1</v>
      </c>
      <c r="AC981" s="7">
        <f t="shared" si="73"/>
        <v>0</v>
      </c>
      <c r="AD981" s="7"/>
      <c r="AE981" s="7"/>
      <c r="AF981" s="7"/>
      <c r="AG981" s="7"/>
      <c r="AH981" s="7"/>
      <c r="AI981" s="7"/>
      <c r="AJ981" s="7"/>
      <c r="AK981" s="7" t="s">
        <v>855</v>
      </c>
      <c r="AL981" s="9"/>
      <c r="AM981" s="7" t="s">
        <v>71</v>
      </c>
      <c r="AN981" s="7" t="s">
        <v>71</v>
      </c>
      <c r="AO981" s="12"/>
    </row>
    <row r="982" spans="1:41" s="11" customFormat="1" ht="24" x14ac:dyDescent="0.25">
      <c r="A982" s="2">
        <v>981</v>
      </c>
      <c r="B982" s="7" t="s">
        <v>856</v>
      </c>
      <c r="C982" s="7" t="s">
        <v>78</v>
      </c>
      <c r="D982" s="7">
        <v>9</v>
      </c>
      <c r="E982" s="7">
        <v>9</v>
      </c>
      <c r="F982" s="8">
        <v>1</v>
      </c>
      <c r="G982" s="8">
        <v>1</v>
      </c>
      <c r="H982" s="7">
        <v>1</v>
      </c>
      <c r="I982" s="7">
        <v>1</v>
      </c>
      <c r="J982" s="9" t="s">
        <v>35</v>
      </c>
      <c r="K982" s="7">
        <v>2</v>
      </c>
      <c r="L982" s="7" t="s">
        <v>52</v>
      </c>
      <c r="M982" s="7">
        <f t="shared" si="72"/>
        <v>1</v>
      </c>
      <c r="N982" s="9" t="s">
        <v>36</v>
      </c>
      <c r="O982" s="7">
        <v>1</v>
      </c>
      <c r="P982" s="9" t="s">
        <v>37</v>
      </c>
      <c r="Q982" s="7" t="s">
        <v>38</v>
      </c>
      <c r="R982" s="7" t="s">
        <v>38</v>
      </c>
      <c r="S982" s="7"/>
      <c r="T982" s="7">
        <v>30</v>
      </c>
      <c r="U982" s="7">
        <v>30</v>
      </c>
      <c r="V982" s="7">
        <v>55</v>
      </c>
      <c r="W982" s="7" t="s">
        <v>83</v>
      </c>
      <c r="X982" s="7"/>
      <c r="Y982" s="7"/>
      <c r="Z982" s="7"/>
      <c r="AA982" s="7"/>
      <c r="AB982" s="7">
        <f t="shared" si="75"/>
        <v>10</v>
      </c>
      <c r="AC982" s="7">
        <f t="shared" si="73"/>
        <v>10</v>
      </c>
      <c r="AD982" s="7"/>
      <c r="AE982" s="7"/>
      <c r="AF982" s="7"/>
      <c r="AG982" s="7"/>
      <c r="AH982" s="7"/>
      <c r="AI982" s="7"/>
      <c r="AJ982" s="7"/>
      <c r="AK982" s="7" t="s">
        <v>252</v>
      </c>
      <c r="AL982" s="9"/>
      <c r="AM982" s="7" t="s">
        <v>42</v>
      </c>
      <c r="AN982" s="7" t="s">
        <v>42</v>
      </c>
      <c r="AO982" s="12"/>
    </row>
    <row r="983" spans="1:41" s="11" customFormat="1" ht="24" x14ac:dyDescent="0.25">
      <c r="A983" s="2">
        <v>982</v>
      </c>
      <c r="B983" s="7" t="s">
        <v>856</v>
      </c>
      <c r="C983" s="7" t="s">
        <v>78</v>
      </c>
      <c r="D983" s="7">
        <v>5</v>
      </c>
      <c r="E983" s="7">
        <v>5</v>
      </c>
      <c r="F983" s="8">
        <v>1</v>
      </c>
      <c r="G983" s="8">
        <v>1</v>
      </c>
      <c r="H983" s="7">
        <v>1</v>
      </c>
      <c r="I983" s="7">
        <v>1</v>
      </c>
      <c r="J983" s="9" t="s">
        <v>35</v>
      </c>
      <c r="K983" s="7">
        <v>2</v>
      </c>
      <c r="L983" s="7" t="s">
        <v>52</v>
      </c>
      <c r="M983" s="7">
        <f t="shared" si="72"/>
        <v>1</v>
      </c>
      <c r="N983" s="9" t="s">
        <v>34</v>
      </c>
      <c r="O983" s="7">
        <v>0</v>
      </c>
      <c r="P983" s="9" t="s">
        <v>37</v>
      </c>
      <c r="Q983" s="7" t="s">
        <v>38</v>
      </c>
      <c r="R983" s="7" t="s">
        <v>38</v>
      </c>
      <c r="S983" s="10" t="s">
        <v>1996</v>
      </c>
      <c r="T983" s="7">
        <v>5</v>
      </c>
      <c r="U983" s="7">
        <v>5</v>
      </c>
      <c r="V983" s="7" t="s">
        <v>857</v>
      </c>
      <c r="W983" s="7" t="s">
        <v>239</v>
      </c>
      <c r="X983" s="7"/>
      <c r="Y983" s="7"/>
      <c r="Z983" s="7"/>
      <c r="AA983" s="7"/>
      <c r="AB983" s="7">
        <f t="shared" si="75"/>
        <v>1.6666666666666667</v>
      </c>
      <c r="AC983" s="7">
        <f t="shared" si="73"/>
        <v>1.6666666666666667</v>
      </c>
      <c r="AD983" s="7"/>
      <c r="AE983" s="7"/>
      <c r="AF983" s="7"/>
      <c r="AG983" s="7"/>
      <c r="AH983" s="7"/>
      <c r="AI983" s="7"/>
      <c r="AJ983" s="7"/>
      <c r="AK983" s="7"/>
      <c r="AL983" s="9"/>
      <c r="AM983" s="7" t="s">
        <v>71</v>
      </c>
      <c r="AN983" s="7" t="s">
        <v>71</v>
      </c>
      <c r="AO983" s="12"/>
    </row>
    <row r="984" spans="1:41" s="11" customFormat="1" ht="24" x14ac:dyDescent="0.25">
      <c r="A984" s="2">
        <v>983</v>
      </c>
      <c r="B984" s="7" t="s">
        <v>856</v>
      </c>
      <c r="C984" s="7" t="s">
        <v>78</v>
      </c>
      <c r="D984" s="7" t="s">
        <v>746</v>
      </c>
      <c r="E984" s="7">
        <v>7</v>
      </c>
      <c r="F984" s="8">
        <v>1</v>
      </c>
      <c r="G984" s="8">
        <v>2</v>
      </c>
      <c r="H984" s="7" t="s">
        <v>87</v>
      </c>
      <c r="I984" s="7">
        <v>2</v>
      </c>
      <c r="J984" s="9" t="s">
        <v>35</v>
      </c>
      <c r="K984" s="7">
        <v>2</v>
      </c>
      <c r="L984" s="7" t="s">
        <v>52</v>
      </c>
      <c r="M984" s="7">
        <f t="shared" si="72"/>
        <v>1</v>
      </c>
      <c r="N984" s="9" t="s">
        <v>34</v>
      </c>
      <c r="O984" s="7">
        <v>1</v>
      </c>
      <c r="P984" s="9" t="s">
        <v>33</v>
      </c>
      <c r="Q984" s="7" t="s">
        <v>38</v>
      </c>
      <c r="R984" s="7" t="s">
        <v>38</v>
      </c>
      <c r="S984" s="10" t="s">
        <v>1997</v>
      </c>
      <c r="T984" s="7" t="s">
        <v>858</v>
      </c>
      <c r="U984" s="7">
        <v>10</v>
      </c>
      <c r="V984" s="7">
        <v>130</v>
      </c>
      <c r="W984" s="7" t="s">
        <v>83</v>
      </c>
      <c r="X984" s="7"/>
      <c r="Y984" s="7"/>
      <c r="Z984" s="7"/>
      <c r="AA984" s="7"/>
      <c r="AB984" s="7">
        <f t="shared" si="75"/>
        <v>3.3333333333333335</v>
      </c>
      <c r="AC984" s="7">
        <f t="shared" si="73"/>
        <v>3.3333333333333335</v>
      </c>
      <c r="AD984" s="7"/>
      <c r="AE984" s="7"/>
      <c r="AF984" s="7"/>
      <c r="AG984" s="7"/>
      <c r="AH984" s="7"/>
      <c r="AI984" s="7"/>
      <c r="AJ984" s="7"/>
      <c r="AK984" s="7"/>
      <c r="AL984" s="9"/>
      <c r="AM984" s="7" t="s">
        <v>71</v>
      </c>
      <c r="AN984" s="7" t="s">
        <v>71</v>
      </c>
      <c r="AO984" s="12"/>
    </row>
    <row r="985" spans="1:41" s="11" customFormat="1" ht="24" x14ac:dyDescent="0.25">
      <c r="A985" s="2">
        <v>984</v>
      </c>
      <c r="B985" s="7" t="s">
        <v>856</v>
      </c>
      <c r="C985" s="7" t="s">
        <v>78</v>
      </c>
      <c r="D985" s="7">
        <v>4</v>
      </c>
      <c r="E985" s="7">
        <v>4</v>
      </c>
      <c r="F985" s="8">
        <v>1</v>
      </c>
      <c r="G985" s="8">
        <v>1</v>
      </c>
      <c r="H985" s="7">
        <v>1</v>
      </c>
      <c r="I985" s="7">
        <v>1</v>
      </c>
      <c r="J985" s="9" t="s">
        <v>35</v>
      </c>
      <c r="K985" s="7">
        <v>2</v>
      </c>
      <c r="L985" s="7" t="s">
        <v>52</v>
      </c>
      <c r="M985" s="7">
        <f t="shared" si="72"/>
        <v>1</v>
      </c>
      <c r="N985" s="9" t="s">
        <v>34</v>
      </c>
      <c r="O985" s="7">
        <v>0</v>
      </c>
      <c r="P985" s="9" t="s">
        <v>34</v>
      </c>
      <c r="Q985" s="7" t="s">
        <v>38</v>
      </c>
      <c r="R985" s="7" t="s">
        <v>38</v>
      </c>
      <c r="S985" s="7"/>
      <c r="T985" s="7">
        <v>7</v>
      </c>
      <c r="U985" s="7">
        <v>7</v>
      </c>
      <c r="V985" s="7">
        <v>100</v>
      </c>
      <c r="W985" s="7" t="s">
        <v>83</v>
      </c>
      <c r="X985" s="7"/>
      <c r="Y985" s="7"/>
      <c r="Z985" s="7"/>
      <c r="AA985" s="7"/>
      <c r="AB985" s="7">
        <f t="shared" si="75"/>
        <v>2.3333333333333335</v>
      </c>
      <c r="AC985" s="7">
        <f t="shared" si="73"/>
        <v>2.3333333333333335</v>
      </c>
      <c r="AD985" s="7"/>
      <c r="AE985" s="7"/>
      <c r="AF985" s="7"/>
      <c r="AG985" s="7"/>
      <c r="AH985" s="7"/>
      <c r="AI985" s="7"/>
      <c r="AJ985" s="7"/>
      <c r="AK985" s="7"/>
      <c r="AL985" s="9"/>
      <c r="AM985" s="7" t="s">
        <v>71</v>
      </c>
      <c r="AN985" s="7" t="s">
        <v>71</v>
      </c>
      <c r="AO985" s="12"/>
    </row>
    <row r="986" spans="1:41" s="11" customFormat="1" ht="24" x14ac:dyDescent="0.25">
      <c r="A986" s="2">
        <v>985</v>
      </c>
      <c r="B986" s="7" t="s">
        <v>856</v>
      </c>
      <c r="C986" s="7" t="s">
        <v>421</v>
      </c>
      <c r="D986" s="7" t="s">
        <v>859</v>
      </c>
      <c r="E986" s="7">
        <f>56+12+9+7</f>
        <v>84</v>
      </c>
      <c r="F986" s="8">
        <v>1</v>
      </c>
      <c r="G986" s="8">
        <v>5</v>
      </c>
      <c r="H986" s="7" t="s">
        <v>146</v>
      </c>
      <c r="I986" s="7">
        <v>5</v>
      </c>
      <c r="J986" s="9" t="s">
        <v>860</v>
      </c>
      <c r="K986" s="7">
        <v>2</v>
      </c>
      <c r="L986" s="7" t="s">
        <v>52</v>
      </c>
      <c r="M986" s="7">
        <f t="shared" si="72"/>
        <v>1</v>
      </c>
      <c r="N986" s="9" t="s">
        <v>34</v>
      </c>
      <c r="O986" s="7">
        <v>0</v>
      </c>
      <c r="P986" s="9" t="s">
        <v>34</v>
      </c>
      <c r="Q986" s="7" t="s">
        <v>38</v>
      </c>
      <c r="R986" s="7" t="s">
        <v>38</v>
      </c>
      <c r="S986" s="7"/>
      <c r="T986" s="7" t="s">
        <v>861</v>
      </c>
      <c r="U986" s="7">
        <v>70</v>
      </c>
      <c r="V986" s="7">
        <v>65</v>
      </c>
      <c r="W986" s="7" t="s">
        <v>83</v>
      </c>
      <c r="X986" s="7">
        <v>25</v>
      </c>
      <c r="Y986" s="7">
        <v>100</v>
      </c>
      <c r="Z986" s="7">
        <v>100</v>
      </c>
      <c r="AA986" s="7">
        <v>47</v>
      </c>
      <c r="AB986" s="7">
        <f t="shared" si="75"/>
        <v>65</v>
      </c>
      <c r="AC986" s="7">
        <f t="shared" si="73"/>
        <v>65</v>
      </c>
      <c r="AD986" s="7"/>
      <c r="AE986" s="7">
        <v>1</v>
      </c>
      <c r="AF986" s="7" t="s">
        <v>40</v>
      </c>
      <c r="AG986" s="7" t="s">
        <v>862</v>
      </c>
      <c r="AH986" s="7"/>
      <c r="AI986" s="7"/>
      <c r="AJ986" s="7"/>
      <c r="AK986" s="7"/>
      <c r="AL986" s="9" t="s">
        <v>38</v>
      </c>
      <c r="AM986" s="7" t="s">
        <v>42</v>
      </c>
      <c r="AN986" s="7" t="s">
        <v>42</v>
      </c>
      <c r="AO986" s="15" t="s">
        <v>2599</v>
      </c>
    </row>
    <row r="987" spans="1:41" s="11" customFormat="1" x14ac:dyDescent="0.25">
      <c r="A987" s="2">
        <v>986</v>
      </c>
      <c r="B987" s="7" t="s">
        <v>856</v>
      </c>
      <c r="C987" s="7" t="s">
        <v>78</v>
      </c>
      <c r="D987" s="7">
        <v>16</v>
      </c>
      <c r="E987" s="7">
        <v>16</v>
      </c>
      <c r="F987" s="8">
        <v>1</v>
      </c>
      <c r="G987" s="8">
        <v>2</v>
      </c>
      <c r="H987" s="7">
        <v>2</v>
      </c>
      <c r="I987" s="7">
        <v>2</v>
      </c>
      <c r="J987" s="9" t="s">
        <v>77</v>
      </c>
      <c r="K987" s="7">
        <v>1</v>
      </c>
      <c r="L987" s="7" t="s">
        <v>38</v>
      </c>
      <c r="M987" s="7">
        <f t="shared" si="72"/>
        <v>0</v>
      </c>
      <c r="N987" s="9" t="s">
        <v>36</v>
      </c>
      <c r="O987" s="7">
        <v>0</v>
      </c>
      <c r="P987" s="9" t="s">
        <v>33</v>
      </c>
      <c r="Q987" s="7" t="s">
        <v>38</v>
      </c>
      <c r="R987" s="7" t="s">
        <v>38</v>
      </c>
      <c r="S987" s="10" t="s">
        <v>1998</v>
      </c>
      <c r="T987" s="7"/>
      <c r="U987" s="7"/>
      <c r="V987" s="7" t="s">
        <v>863</v>
      </c>
      <c r="W987" s="7" t="s">
        <v>864</v>
      </c>
      <c r="X987" s="7"/>
      <c r="Y987" s="7"/>
      <c r="Z987" s="7"/>
      <c r="AA987" s="7"/>
      <c r="AB987" s="7">
        <v>0.33333333333333298</v>
      </c>
      <c r="AC987" s="7">
        <f t="shared" si="73"/>
        <v>0</v>
      </c>
      <c r="AD987" s="7"/>
      <c r="AE987" s="7"/>
      <c r="AF987" s="7"/>
      <c r="AG987" s="7"/>
      <c r="AH987" s="7"/>
      <c r="AI987" s="7"/>
      <c r="AJ987" s="10" t="s">
        <v>2378</v>
      </c>
      <c r="AK987" s="7"/>
      <c r="AL987" s="9"/>
      <c r="AM987" s="7" t="s">
        <v>647</v>
      </c>
      <c r="AN987" s="7" t="s">
        <v>2847</v>
      </c>
      <c r="AO987" s="15" t="s">
        <v>2600</v>
      </c>
    </row>
    <row r="988" spans="1:41" s="11" customFormat="1" x14ac:dyDescent="0.25">
      <c r="A988" s="2">
        <v>987</v>
      </c>
      <c r="B988" s="7" t="s">
        <v>856</v>
      </c>
      <c r="C988" s="7" t="s">
        <v>100</v>
      </c>
      <c r="D988" s="7">
        <v>11</v>
      </c>
      <c r="E988" s="7">
        <v>11</v>
      </c>
      <c r="F988" s="8">
        <v>1</v>
      </c>
      <c r="G988" s="8">
        <v>1</v>
      </c>
      <c r="H988" s="7">
        <v>1</v>
      </c>
      <c r="I988" s="7">
        <v>1</v>
      </c>
      <c r="J988" s="9" t="s">
        <v>77</v>
      </c>
      <c r="K988" s="7">
        <v>1</v>
      </c>
      <c r="L988" s="7" t="s">
        <v>38</v>
      </c>
      <c r="M988" s="7">
        <f t="shared" si="72"/>
        <v>0</v>
      </c>
      <c r="N988" s="9"/>
      <c r="O988" s="7"/>
      <c r="P988" s="9"/>
      <c r="Q988" s="7"/>
      <c r="R988" s="7"/>
      <c r="S988" s="7"/>
      <c r="T988" s="7"/>
      <c r="U988" s="7"/>
      <c r="V988" s="7"/>
      <c r="W988" s="7"/>
      <c r="X988" s="7">
        <v>3</v>
      </c>
      <c r="Y988" s="7"/>
      <c r="Z988" s="7"/>
      <c r="AA988" s="7"/>
      <c r="AB988" s="7">
        <f>(U988+X988+Z988)/3</f>
        <v>1</v>
      </c>
      <c r="AC988" s="7">
        <f t="shared" si="73"/>
        <v>0</v>
      </c>
      <c r="AD988" s="7"/>
      <c r="AE988" s="7"/>
      <c r="AF988" s="7"/>
      <c r="AG988" s="7"/>
      <c r="AH988" s="7"/>
      <c r="AI988" s="7"/>
      <c r="AJ988" s="7"/>
      <c r="AK988" s="7"/>
      <c r="AL988" s="9"/>
      <c r="AM988" s="7" t="s">
        <v>71</v>
      </c>
      <c r="AN988" s="7" t="s">
        <v>71</v>
      </c>
      <c r="AO988" s="12"/>
    </row>
    <row r="989" spans="1:41" s="11" customFormat="1" x14ac:dyDescent="0.25">
      <c r="A989" s="2">
        <v>988</v>
      </c>
      <c r="B989" s="7" t="s">
        <v>856</v>
      </c>
      <c r="C989" s="7" t="s">
        <v>249</v>
      </c>
      <c r="D989" s="7" t="s">
        <v>865</v>
      </c>
      <c r="E989" s="7">
        <v>36</v>
      </c>
      <c r="F989" s="8">
        <v>1</v>
      </c>
      <c r="G989" s="8">
        <v>2</v>
      </c>
      <c r="H989" s="7" t="s">
        <v>87</v>
      </c>
      <c r="I989" s="7">
        <v>2</v>
      </c>
      <c r="J989" s="9" t="s">
        <v>35</v>
      </c>
      <c r="K989" s="7">
        <v>2</v>
      </c>
      <c r="L989" s="7" t="s">
        <v>52</v>
      </c>
      <c r="M989" s="7">
        <f t="shared" si="72"/>
        <v>1</v>
      </c>
      <c r="N989" s="9" t="s">
        <v>34</v>
      </c>
      <c r="O989" s="7">
        <v>1</v>
      </c>
      <c r="P989" s="9" t="s">
        <v>63</v>
      </c>
      <c r="Q989" s="7" t="s">
        <v>38</v>
      </c>
      <c r="R989" s="7" t="s">
        <v>38</v>
      </c>
      <c r="S989" s="10" t="s">
        <v>1999</v>
      </c>
      <c r="T989" s="7"/>
      <c r="U989" s="7"/>
      <c r="V989" s="7"/>
      <c r="W989" s="7"/>
      <c r="X989" s="7">
        <v>3</v>
      </c>
      <c r="Y989" s="7"/>
      <c r="Z989" s="7"/>
      <c r="AA989" s="7"/>
      <c r="AB989" s="7">
        <f>(U989+X989+Z989)/3</f>
        <v>1</v>
      </c>
      <c r="AC989" s="7">
        <f t="shared" si="73"/>
        <v>1</v>
      </c>
      <c r="AD989" s="7"/>
      <c r="AE989" s="7">
        <v>2</v>
      </c>
      <c r="AF989" s="7" t="s">
        <v>40</v>
      </c>
      <c r="AG989" s="7" t="s">
        <v>866</v>
      </c>
      <c r="AH989" s="7"/>
      <c r="AI989" s="7"/>
      <c r="AJ989" s="7"/>
      <c r="AK989" s="7"/>
      <c r="AL989" s="9"/>
      <c r="AM989" s="7" t="s">
        <v>71</v>
      </c>
      <c r="AN989" s="7" t="s">
        <v>71</v>
      </c>
      <c r="AO989" s="15" t="s">
        <v>2601</v>
      </c>
    </row>
    <row r="990" spans="1:41" s="11" customFormat="1" x14ac:dyDescent="0.25">
      <c r="A990" s="2">
        <v>989</v>
      </c>
      <c r="B990" s="7" t="s">
        <v>856</v>
      </c>
      <c r="C990" s="7" t="s">
        <v>104</v>
      </c>
      <c r="D990" s="7">
        <v>7</v>
      </c>
      <c r="E990" s="7">
        <v>7</v>
      </c>
      <c r="F990" s="8">
        <v>1</v>
      </c>
      <c r="G990" s="8">
        <v>1</v>
      </c>
      <c r="H990" s="7">
        <v>1</v>
      </c>
      <c r="I990" s="7">
        <v>1</v>
      </c>
      <c r="J990" s="7" t="s">
        <v>1489</v>
      </c>
      <c r="K990" s="7">
        <v>1</v>
      </c>
      <c r="L990" s="7" t="s">
        <v>38</v>
      </c>
      <c r="M990" s="7">
        <f t="shared" si="72"/>
        <v>0</v>
      </c>
      <c r="N990" s="9" t="s">
        <v>82</v>
      </c>
      <c r="O990" s="7">
        <v>0</v>
      </c>
      <c r="P990" s="9" t="s">
        <v>36</v>
      </c>
      <c r="Q990" s="7" t="s">
        <v>38</v>
      </c>
      <c r="R990" s="7" t="s">
        <v>38</v>
      </c>
      <c r="S990" s="10" t="s">
        <v>2000</v>
      </c>
      <c r="T990" s="7"/>
      <c r="U990" s="7"/>
      <c r="V990" s="7"/>
      <c r="W990" s="7"/>
      <c r="X990" s="7">
        <v>3</v>
      </c>
      <c r="Y990" s="7"/>
      <c r="Z990" s="7"/>
      <c r="AA990" s="7"/>
      <c r="AB990" s="7">
        <f>(U990+X990+Z990)/3</f>
        <v>1</v>
      </c>
      <c r="AC990" s="7">
        <f t="shared" si="73"/>
        <v>0</v>
      </c>
      <c r="AD990" s="7"/>
      <c r="AE990" s="7">
        <v>1</v>
      </c>
      <c r="AF990" s="7"/>
      <c r="AG990" s="7" t="s">
        <v>867</v>
      </c>
      <c r="AH990" s="7" t="s">
        <v>451</v>
      </c>
      <c r="AI990" s="7"/>
      <c r="AJ990" s="7"/>
      <c r="AK990" s="7"/>
      <c r="AL990" s="9"/>
      <c r="AM990" s="7" t="s">
        <v>71</v>
      </c>
      <c r="AN990" s="7" t="s">
        <v>71</v>
      </c>
      <c r="AO990" s="12"/>
    </row>
    <row r="991" spans="1:41" s="11" customFormat="1" x14ac:dyDescent="0.25">
      <c r="A991" s="2">
        <v>990</v>
      </c>
      <c r="B991" s="7" t="s">
        <v>856</v>
      </c>
      <c r="C991" s="7" t="s">
        <v>104</v>
      </c>
      <c r="D991" s="7">
        <v>3</v>
      </c>
      <c r="E991" s="7">
        <v>3</v>
      </c>
      <c r="F991" s="8">
        <v>1</v>
      </c>
      <c r="G991" s="8">
        <v>1</v>
      </c>
      <c r="H991" s="7">
        <v>1</v>
      </c>
      <c r="I991" s="7">
        <v>1</v>
      </c>
      <c r="J991" s="9" t="s">
        <v>35</v>
      </c>
      <c r="K991" s="7">
        <v>1</v>
      </c>
      <c r="L991" s="7" t="s">
        <v>52</v>
      </c>
      <c r="M991" s="7">
        <f t="shared" si="72"/>
        <v>1</v>
      </c>
      <c r="N991" s="9" t="s">
        <v>34</v>
      </c>
      <c r="O991" s="7">
        <v>0</v>
      </c>
      <c r="P991" s="9" t="s">
        <v>63</v>
      </c>
      <c r="Q991" s="7" t="s">
        <v>38</v>
      </c>
      <c r="R991" s="7" t="s">
        <v>38</v>
      </c>
      <c r="S991" s="10" t="s">
        <v>2001</v>
      </c>
      <c r="T991" s="7"/>
      <c r="U991" s="7"/>
      <c r="V991" s="7"/>
      <c r="W991" s="7"/>
      <c r="X991" s="7">
        <v>3</v>
      </c>
      <c r="Y991" s="7"/>
      <c r="Z991" s="7"/>
      <c r="AA991" s="7"/>
      <c r="AB991" s="7">
        <f>(U991+X991+Z991)/3</f>
        <v>1</v>
      </c>
      <c r="AC991" s="7">
        <f t="shared" si="73"/>
        <v>1</v>
      </c>
      <c r="AD991" s="7"/>
      <c r="AE991" s="7">
        <v>1</v>
      </c>
      <c r="AF991" s="7" t="s">
        <v>40</v>
      </c>
      <c r="AG991" s="7" t="s">
        <v>868</v>
      </c>
      <c r="AH991" s="7" t="s">
        <v>38</v>
      </c>
      <c r="AI991" s="7"/>
      <c r="AJ991" s="7"/>
      <c r="AK991" s="7"/>
      <c r="AL991" s="9"/>
      <c r="AM991" s="7" t="s">
        <v>71</v>
      </c>
      <c r="AN991" s="7" t="s">
        <v>71</v>
      </c>
      <c r="AO991" s="12"/>
    </row>
    <row r="992" spans="1:41" s="11" customFormat="1" x14ac:dyDescent="0.25">
      <c r="A992" s="2">
        <v>991</v>
      </c>
      <c r="B992" s="7" t="s">
        <v>856</v>
      </c>
      <c r="C992" s="7" t="s">
        <v>115</v>
      </c>
      <c r="D992" s="7" t="s">
        <v>869</v>
      </c>
      <c r="E992" s="7">
        <v>18</v>
      </c>
      <c r="F992" s="8">
        <v>2</v>
      </c>
      <c r="G992" s="8">
        <v>4</v>
      </c>
      <c r="H992" s="7" t="s">
        <v>870</v>
      </c>
      <c r="I992" s="7">
        <v>4</v>
      </c>
      <c r="J992" s="9" t="s">
        <v>35</v>
      </c>
      <c r="K992" s="7">
        <v>2</v>
      </c>
      <c r="L992" s="7" t="s">
        <v>52</v>
      </c>
      <c r="M992" s="7">
        <f t="shared" si="72"/>
        <v>2</v>
      </c>
      <c r="N992" s="9" t="s">
        <v>34</v>
      </c>
      <c r="O992" s="7">
        <v>0</v>
      </c>
      <c r="P992" s="9" t="s">
        <v>33</v>
      </c>
      <c r="Q992" s="7"/>
      <c r="R992" s="7" t="s">
        <v>38</v>
      </c>
      <c r="S992" s="10" t="s">
        <v>2002</v>
      </c>
      <c r="T992" s="7"/>
      <c r="U992" s="7"/>
      <c r="V992" s="7"/>
      <c r="W992" s="7"/>
      <c r="X992" s="7"/>
      <c r="Y992" s="7"/>
      <c r="Z992" s="7"/>
      <c r="AA992" s="7"/>
      <c r="AB992" s="7">
        <v>0.33333333333333298</v>
      </c>
      <c r="AC992" s="7">
        <f t="shared" si="73"/>
        <v>0.33333333333333298</v>
      </c>
      <c r="AD992" s="7">
        <v>2</v>
      </c>
      <c r="AE992" s="7"/>
      <c r="AF992" s="7" t="s">
        <v>40</v>
      </c>
      <c r="AG992" s="7"/>
      <c r="AH992" s="7"/>
      <c r="AI992" s="7"/>
      <c r="AJ992" s="7"/>
      <c r="AK992" s="7"/>
      <c r="AL992" s="9"/>
      <c r="AM992" s="7" t="s">
        <v>71</v>
      </c>
      <c r="AN992" s="7" t="s">
        <v>71</v>
      </c>
      <c r="AO992" s="15" t="s">
        <v>2602</v>
      </c>
    </row>
    <row r="993" spans="1:41" s="11" customFormat="1" x14ac:dyDescent="0.25">
      <c r="A993" s="2">
        <v>992</v>
      </c>
      <c r="B993" s="7" t="s">
        <v>856</v>
      </c>
      <c r="C993" s="7" t="s">
        <v>119</v>
      </c>
      <c r="D993" s="7">
        <v>14</v>
      </c>
      <c r="E993" s="7">
        <v>14</v>
      </c>
      <c r="F993" s="8">
        <v>1</v>
      </c>
      <c r="G993" s="8">
        <v>1</v>
      </c>
      <c r="H993" s="7">
        <v>1</v>
      </c>
      <c r="I993" s="7">
        <v>1</v>
      </c>
      <c r="J993" s="9" t="s">
        <v>35</v>
      </c>
      <c r="K993" s="7">
        <v>2</v>
      </c>
      <c r="L993" s="7" t="s">
        <v>52</v>
      </c>
      <c r="M993" s="7">
        <f t="shared" si="72"/>
        <v>1</v>
      </c>
      <c r="N993" s="9" t="s">
        <v>34</v>
      </c>
      <c r="O993" s="7">
        <v>0</v>
      </c>
      <c r="P993" s="9" t="s">
        <v>33</v>
      </c>
      <c r="Q993" s="7"/>
      <c r="R993" s="7" t="s">
        <v>38</v>
      </c>
      <c r="S993" s="10" t="s">
        <v>1945</v>
      </c>
      <c r="T993" s="7"/>
      <c r="U993" s="7"/>
      <c r="V993" s="7"/>
      <c r="W993" s="7"/>
      <c r="X993" s="7"/>
      <c r="Y993" s="7"/>
      <c r="Z993" s="7"/>
      <c r="AA993" s="7"/>
      <c r="AB993" s="7">
        <v>0.33333333333333298</v>
      </c>
      <c r="AC993" s="7">
        <f t="shared" si="73"/>
        <v>0.33333333333333298</v>
      </c>
      <c r="AD993" s="7">
        <v>1</v>
      </c>
      <c r="AE993" s="7"/>
      <c r="AF993" s="7" t="s">
        <v>40</v>
      </c>
      <c r="AG993" s="7" t="s">
        <v>120</v>
      </c>
      <c r="AH993" s="7"/>
      <c r="AI993" s="7"/>
      <c r="AJ993" s="7"/>
      <c r="AK993" s="7"/>
      <c r="AL993" s="9"/>
      <c r="AM993" s="7" t="s">
        <v>71</v>
      </c>
      <c r="AN993" s="7" t="s">
        <v>71</v>
      </c>
      <c r="AO993" s="15" t="s">
        <v>2603</v>
      </c>
    </row>
    <row r="994" spans="1:41" s="11" customFormat="1" x14ac:dyDescent="0.25">
      <c r="A994" s="2">
        <v>993</v>
      </c>
      <c r="B994" s="7" t="s">
        <v>856</v>
      </c>
      <c r="C994" s="7" t="s">
        <v>119</v>
      </c>
      <c r="D994" s="7">
        <v>2</v>
      </c>
      <c r="E994" s="7">
        <v>2</v>
      </c>
      <c r="F994" s="8">
        <v>1</v>
      </c>
      <c r="G994" s="8">
        <v>1</v>
      </c>
      <c r="H994" s="7">
        <v>1</v>
      </c>
      <c r="I994" s="7">
        <v>1</v>
      </c>
      <c r="J994" s="9" t="s">
        <v>35</v>
      </c>
      <c r="K994" s="7">
        <v>2</v>
      </c>
      <c r="L994" s="7" t="s">
        <v>52</v>
      </c>
      <c r="M994" s="7">
        <f t="shared" si="72"/>
        <v>1</v>
      </c>
      <c r="N994" s="9" t="s">
        <v>34</v>
      </c>
      <c r="O994" s="7">
        <v>0</v>
      </c>
      <c r="P994" s="9" t="s">
        <v>63</v>
      </c>
      <c r="Q994" s="7"/>
      <c r="R994" s="7" t="s">
        <v>38</v>
      </c>
      <c r="S994" s="7"/>
      <c r="T994" s="7"/>
      <c r="U994" s="7"/>
      <c r="V994" s="7"/>
      <c r="W994" s="7"/>
      <c r="X994" s="7"/>
      <c r="Y994" s="7"/>
      <c r="Z994" s="7"/>
      <c r="AA994" s="7"/>
      <c r="AB994" s="7">
        <v>0.33333333333333298</v>
      </c>
      <c r="AC994" s="7">
        <f t="shared" si="73"/>
        <v>0.33333333333333298</v>
      </c>
      <c r="AD994" s="7">
        <v>1</v>
      </c>
      <c r="AE994" s="7"/>
      <c r="AF994" s="7" t="s">
        <v>40</v>
      </c>
      <c r="AG994" s="7" t="s">
        <v>871</v>
      </c>
      <c r="AH994" s="7"/>
      <c r="AI994" s="7"/>
      <c r="AJ994" s="7"/>
      <c r="AK994" s="7"/>
      <c r="AL994" s="9"/>
      <c r="AM994" s="7" t="s">
        <v>71</v>
      </c>
      <c r="AN994" s="7" t="s">
        <v>71</v>
      </c>
      <c r="AO994" s="12"/>
    </row>
    <row r="995" spans="1:41" s="11" customFormat="1" x14ac:dyDescent="0.25">
      <c r="A995" s="2">
        <v>994</v>
      </c>
      <c r="B995" s="7" t="s">
        <v>856</v>
      </c>
      <c r="C995" s="7" t="s">
        <v>50</v>
      </c>
      <c r="D995" s="7" t="s">
        <v>872</v>
      </c>
      <c r="E995" s="7">
        <f>115+82+61</f>
        <v>258</v>
      </c>
      <c r="F995" s="8">
        <v>1</v>
      </c>
      <c r="G995" s="8">
        <v>6</v>
      </c>
      <c r="H995" s="7">
        <v>6</v>
      </c>
      <c r="I995" s="7">
        <v>6</v>
      </c>
      <c r="J995" s="9" t="s">
        <v>35</v>
      </c>
      <c r="K995" s="7">
        <v>2</v>
      </c>
      <c r="L995" s="7" t="s">
        <v>52</v>
      </c>
      <c r="M995" s="7">
        <f t="shared" si="72"/>
        <v>1</v>
      </c>
      <c r="N995" s="9" t="s">
        <v>34</v>
      </c>
      <c r="O995" s="7">
        <v>1</v>
      </c>
      <c r="P995" s="9" t="s">
        <v>33</v>
      </c>
      <c r="Q995" s="7" t="s">
        <v>38</v>
      </c>
      <c r="R995" s="7" t="s">
        <v>38</v>
      </c>
      <c r="S995" s="10" t="s">
        <v>2003</v>
      </c>
      <c r="T995" s="7"/>
      <c r="U995" s="7"/>
      <c r="V995" s="7"/>
      <c r="W995" s="7"/>
      <c r="X995" s="7"/>
      <c r="Y995" s="7">
        <v>100</v>
      </c>
      <c r="Z995" s="7">
        <v>100</v>
      </c>
      <c r="AA995" s="7">
        <v>101</v>
      </c>
      <c r="AB995" s="7">
        <f t="shared" ref="AB995:AB1024" si="76">(U995+X995+Z995)/3</f>
        <v>33.333333333333336</v>
      </c>
      <c r="AC995" s="7">
        <f t="shared" si="73"/>
        <v>33.333333333333336</v>
      </c>
      <c r="AD995" s="7"/>
      <c r="AE995" s="7"/>
      <c r="AF995" s="7"/>
      <c r="AG995" s="7"/>
      <c r="AH995" s="7"/>
      <c r="AI995" s="7"/>
      <c r="AJ995" s="7"/>
      <c r="AK995" s="7"/>
      <c r="AL995" s="9"/>
      <c r="AM995" s="7" t="s">
        <v>137</v>
      </c>
      <c r="AN995" s="7" t="s">
        <v>2848</v>
      </c>
      <c r="AO995" s="15" t="s">
        <v>2604</v>
      </c>
    </row>
    <row r="996" spans="1:41" s="11" customFormat="1" ht="24" x14ac:dyDescent="0.25">
      <c r="A996" s="2">
        <v>995</v>
      </c>
      <c r="B996" s="7" t="s">
        <v>856</v>
      </c>
      <c r="C996" s="7" t="s">
        <v>269</v>
      </c>
      <c r="D996" s="7" t="s">
        <v>873</v>
      </c>
      <c r="E996" s="7">
        <f>39+28+21</f>
        <v>88</v>
      </c>
      <c r="F996" s="8">
        <v>1</v>
      </c>
      <c r="G996" s="8">
        <v>3</v>
      </c>
      <c r="H996" s="7" t="s">
        <v>293</v>
      </c>
      <c r="I996" s="7">
        <v>3</v>
      </c>
      <c r="J996" s="9" t="s">
        <v>35</v>
      </c>
      <c r="K996" s="7">
        <v>2</v>
      </c>
      <c r="L996" s="7" t="s">
        <v>52</v>
      </c>
      <c r="M996" s="7">
        <f t="shared" si="72"/>
        <v>1</v>
      </c>
      <c r="N996" s="9" t="s">
        <v>34</v>
      </c>
      <c r="O996" s="7">
        <v>0</v>
      </c>
      <c r="P996" s="9" t="s">
        <v>33</v>
      </c>
      <c r="Q996" s="7" t="s">
        <v>38</v>
      </c>
      <c r="R996" s="7" t="s">
        <v>38</v>
      </c>
      <c r="S996" s="10" t="s">
        <v>2004</v>
      </c>
      <c r="T996" s="7" t="s">
        <v>874</v>
      </c>
      <c r="U996" s="7">
        <v>22</v>
      </c>
      <c r="V996" s="7">
        <v>160</v>
      </c>
      <c r="W996" s="7" t="s">
        <v>239</v>
      </c>
      <c r="X996" s="7">
        <v>3</v>
      </c>
      <c r="Y996" s="7"/>
      <c r="Z996" s="7"/>
      <c r="AA996" s="7"/>
      <c r="AB996" s="7">
        <f t="shared" si="76"/>
        <v>8.3333333333333339</v>
      </c>
      <c r="AC996" s="7">
        <f t="shared" si="73"/>
        <v>8.3333333333333339</v>
      </c>
      <c r="AD996" s="7"/>
      <c r="AE996" s="7"/>
      <c r="AF996" s="7"/>
      <c r="AG996" s="7"/>
      <c r="AH996" s="7"/>
      <c r="AI996" s="7"/>
      <c r="AJ996" s="7"/>
      <c r="AK996" s="7"/>
      <c r="AL996" s="9"/>
      <c r="AM996" s="7" t="s">
        <v>716</v>
      </c>
      <c r="AN996" s="7" t="s">
        <v>2848</v>
      </c>
      <c r="AO996" s="15"/>
    </row>
    <row r="997" spans="1:41" s="11" customFormat="1" x14ac:dyDescent="0.25">
      <c r="A997" s="2">
        <v>996</v>
      </c>
      <c r="B997" s="7" t="s">
        <v>856</v>
      </c>
      <c r="C997" s="7" t="s">
        <v>100</v>
      </c>
      <c r="D997" s="7">
        <v>22</v>
      </c>
      <c r="E997" s="7">
        <v>22</v>
      </c>
      <c r="F997" s="8">
        <v>1</v>
      </c>
      <c r="G997" s="8">
        <v>1</v>
      </c>
      <c r="H997" s="7">
        <v>1</v>
      </c>
      <c r="I997" s="7">
        <v>1</v>
      </c>
      <c r="J997" s="9" t="s">
        <v>35</v>
      </c>
      <c r="K997" s="7">
        <v>2</v>
      </c>
      <c r="L997" s="7" t="s">
        <v>52</v>
      </c>
      <c r="M997" s="7">
        <f t="shared" si="72"/>
        <v>1</v>
      </c>
      <c r="N997" s="9" t="s">
        <v>36</v>
      </c>
      <c r="O997" s="7">
        <v>0</v>
      </c>
      <c r="P997" s="9" t="s">
        <v>63</v>
      </c>
      <c r="Q997" s="7" t="s">
        <v>52</v>
      </c>
      <c r="R997" s="7" t="s">
        <v>38</v>
      </c>
      <c r="S997" s="7"/>
      <c r="T997" s="7"/>
      <c r="U997" s="7"/>
      <c r="V997" s="7"/>
      <c r="W997" s="7"/>
      <c r="X997" s="7">
        <v>3</v>
      </c>
      <c r="Y997" s="7"/>
      <c r="Z997" s="7"/>
      <c r="AA997" s="7"/>
      <c r="AB997" s="7">
        <f t="shared" si="76"/>
        <v>1</v>
      </c>
      <c r="AC997" s="7">
        <f t="shared" si="73"/>
        <v>1</v>
      </c>
      <c r="AD997" s="7"/>
      <c r="AE997" s="7"/>
      <c r="AF997" s="7"/>
      <c r="AG997" s="7"/>
      <c r="AH997" s="7"/>
      <c r="AI997" s="7"/>
      <c r="AJ997" s="10" t="s">
        <v>2361</v>
      </c>
      <c r="AK997" s="7"/>
      <c r="AL997" s="9"/>
      <c r="AM997" s="7" t="s">
        <v>71</v>
      </c>
      <c r="AN997" s="7" t="s">
        <v>71</v>
      </c>
      <c r="AO997" s="7"/>
    </row>
    <row r="998" spans="1:41" s="11" customFormat="1" x14ac:dyDescent="0.25">
      <c r="A998" s="2">
        <v>997</v>
      </c>
      <c r="B998" s="7" t="s">
        <v>856</v>
      </c>
      <c r="C998" s="7" t="s">
        <v>89</v>
      </c>
      <c r="D998" s="7" t="s">
        <v>875</v>
      </c>
      <c r="E998" s="7">
        <f>40+34+26+12+12+9+3</f>
        <v>136</v>
      </c>
      <c r="F998" s="8">
        <v>4</v>
      </c>
      <c r="G998" s="8">
        <v>7</v>
      </c>
      <c r="H998" s="7" t="s">
        <v>790</v>
      </c>
      <c r="I998" s="7">
        <v>7</v>
      </c>
      <c r="J998" s="9" t="s">
        <v>35</v>
      </c>
      <c r="K998" s="7">
        <v>2</v>
      </c>
      <c r="L998" s="7" t="s">
        <v>52</v>
      </c>
      <c r="M998" s="7">
        <f t="shared" si="72"/>
        <v>4</v>
      </c>
      <c r="N998" s="9"/>
      <c r="O998" s="7"/>
      <c r="P998" s="9"/>
      <c r="Q998" s="7"/>
      <c r="R998" s="7"/>
      <c r="S998" s="7"/>
      <c r="T998" s="7"/>
      <c r="U998" s="7"/>
      <c r="V998" s="7"/>
      <c r="W998" s="7"/>
      <c r="X998" s="7">
        <v>3</v>
      </c>
      <c r="Y998" s="7"/>
      <c r="Z998" s="7"/>
      <c r="AA998" s="7"/>
      <c r="AB998" s="7">
        <f t="shared" si="76"/>
        <v>1</v>
      </c>
      <c r="AC998" s="7">
        <f t="shared" si="73"/>
        <v>1</v>
      </c>
      <c r="AD998" s="7"/>
      <c r="AE998" s="7"/>
      <c r="AF998" s="7"/>
      <c r="AG998" s="7"/>
      <c r="AH998" s="7"/>
      <c r="AI998" s="7"/>
      <c r="AJ998" s="7"/>
      <c r="AK998" s="7"/>
      <c r="AL998" s="9"/>
      <c r="AM998" s="7" t="s">
        <v>71</v>
      </c>
      <c r="AN998" s="7" t="s">
        <v>71</v>
      </c>
      <c r="AO998" s="12"/>
    </row>
    <row r="999" spans="1:41" s="11" customFormat="1" x14ac:dyDescent="0.25">
      <c r="A999" s="2">
        <v>998</v>
      </c>
      <c r="B999" s="7" t="s">
        <v>856</v>
      </c>
      <c r="C999" s="7" t="s">
        <v>100</v>
      </c>
      <c r="D999" s="7">
        <v>7</v>
      </c>
      <c r="E999" s="7">
        <v>7</v>
      </c>
      <c r="F999" s="8">
        <v>1</v>
      </c>
      <c r="G999" s="8">
        <v>1</v>
      </c>
      <c r="H999" s="7">
        <v>1</v>
      </c>
      <c r="I999" s="7">
        <v>1</v>
      </c>
      <c r="J999" s="9" t="s">
        <v>35</v>
      </c>
      <c r="K999" s="7">
        <v>1</v>
      </c>
      <c r="L999" s="7" t="s">
        <v>52</v>
      </c>
      <c r="M999" s="7">
        <f t="shared" si="72"/>
        <v>1</v>
      </c>
      <c r="N999" s="9"/>
      <c r="O999" s="7"/>
      <c r="P999" s="9"/>
      <c r="Q999" s="7"/>
      <c r="R999" s="7"/>
      <c r="S999" s="7"/>
      <c r="T999" s="7"/>
      <c r="U999" s="7"/>
      <c r="V999" s="7"/>
      <c r="W999" s="7"/>
      <c r="X999" s="7">
        <v>3</v>
      </c>
      <c r="Y999" s="7"/>
      <c r="Z999" s="7"/>
      <c r="AA999" s="7"/>
      <c r="AB999" s="7">
        <f t="shared" si="76"/>
        <v>1</v>
      </c>
      <c r="AC999" s="7">
        <f t="shared" si="73"/>
        <v>1</v>
      </c>
      <c r="AD999" s="7"/>
      <c r="AE999" s="7"/>
      <c r="AF999" s="7"/>
      <c r="AG999" s="7"/>
      <c r="AH999" s="7"/>
      <c r="AI999" s="7"/>
      <c r="AJ999" s="7"/>
      <c r="AK999" s="7"/>
      <c r="AL999" s="9"/>
      <c r="AM999" s="7" t="s">
        <v>71</v>
      </c>
      <c r="AN999" s="7" t="s">
        <v>71</v>
      </c>
      <c r="AO999" s="12"/>
    </row>
    <row r="1000" spans="1:41" s="11" customFormat="1" ht="24" x14ac:dyDescent="0.25">
      <c r="A1000" s="2">
        <v>999</v>
      </c>
      <c r="B1000" s="7" t="s">
        <v>856</v>
      </c>
      <c r="C1000" s="7" t="s">
        <v>50</v>
      </c>
      <c r="D1000" s="7">
        <v>53</v>
      </c>
      <c r="E1000" s="7">
        <v>53</v>
      </c>
      <c r="F1000" s="8">
        <v>1</v>
      </c>
      <c r="G1000" s="8">
        <v>1</v>
      </c>
      <c r="H1000" s="7">
        <v>1</v>
      </c>
      <c r="I1000" s="7">
        <v>1</v>
      </c>
      <c r="J1000" s="9" t="s">
        <v>35</v>
      </c>
      <c r="K1000" s="7">
        <v>2</v>
      </c>
      <c r="L1000" s="7" t="s">
        <v>52</v>
      </c>
      <c r="M1000" s="7">
        <f t="shared" si="72"/>
        <v>1</v>
      </c>
      <c r="N1000" s="9" t="s">
        <v>36</v>
      </c>
      <c r="O1000" s="7">
        <v>0</v>
      </c>
      <c r="P1000" s="9" t="s">
        <v>37</v>
      </c>
      <c r="Q1000" s="7" t="s">
        <v>38</v>
      </c>
      <c r="R1000" s="7" t="s">
        <v>38</v>
      </c>
      <c r="S1000" s="10" t="s">
        <v>2005</v>
      </c>
      <c r="T1000" s="7"/>
      <c r="U1000" s="7"/>
      <c r="V1000" s="7"/>
      <c r="W1000" s="7"/>
      <c r="X1000" s="7"/>
      <c r="Y1000" s="7">
        <v>50</v>
      </c>
      <c r="Z1000" s="7">
        <v>50</v>
      </c>
      <c r="AA1000" s="7">
        <v>63</v>
      </c>
      <c r="AB1000" s="7">
        <f t="shared" si="76"/>
        <v>16.666666666666668</v>
      </c>
      <c r="AC1000" s="7">
        <f t="shared" si="73"/>
        <v>16.666666666666668</v>
      </c>
      <c r="AD1000" s="7"/>
      <c r="AE1000" s="7"/>
      <c r="AF1000" s="7"/>
      <c r="AG1000" s="7"/>
      <c r="AH1000" s="7"/>
      <c r="AI1000" s="7"/>
      <c r="AJ1000" s="7"/>
      <c r="AK1000" s="7"/>
      <c r="AL1000" s="9"/>
      <c r="AM1000" s="7" t="s">
        <v>42</v>
      </c>
      <c r="AN1000" s="7" t="s">
        <v>42</v>
      </c>
      <c r="AO1000" s="12"/>
    </row>
    <row r="1001" spans="1:41" s="11" customFormat="1" x14ac:dyDescent="0.25">
      <c r="A1001" s="2">
        <v>1000</v>
      </c>
      <c r="B1001" s="7" t="s">
        <v>856</v>
      </c>
      <c r="C1001" s="7" t="s">
        <v>50</v>
      </c>
      <c r="D1001" s="7">
        <v>44</v>
      </c>
      <c r="E1001" s="7">
        <v>44</v>
      </c>
      <c r="F1001" s="8">
        <v>1</v>
      </c>
      <c r="G1001" s="8">
        <v>1</v>
      </c>
      <c r="H1001" s="7">
        <v>1</v>
      </c>
      <c r="I1001" s="7">
        <v>1</v>
      </c>
      <c r="J1001" s="9" t="s">
        <v>35</v>
      </c>
      <c r="K1001" s="7">
        <v>2</v>
      </c>
      <c r="L1001" s="7" t="s">
        <v>52</v>
      </c>
      <c r="M1001" s="7">
        <f t="shared" si="72"/>
        <v>1</v>
      </c>
      <c r="N1001" s="9" t="s">
        <v>34</v>
      </c>
      <c r="O1001" s="7">
        <v>1</v>
      </c>
      <c r="P1001" s="9" t="s">
        <v>33</v>
      </c>
      <c r="Q1001" s="7" t="s">
        <v>38</v>
      </c>
      <c r="R1001" s="7" t="s">
        <v>38</v>
      </c>
      <c r="S1001" s="10" t="s">
        <v>2006</v>
      </c>
      <c r="T1001" s="7"/>
      <c r="U1001" s="7"/>
      <c r="V1001" s="7"/>
      <c r="W1001" s="7"/>
      <c r="X1001" s="7"/>
      <c r="Y1001" s="7">
        <v>27</v>
      </c>
      <c r="Z1001" s="7">
        <v>27</v>
      </c>
      <c r="AA1001" s="7">
        <v>105</v>
      </c>
      <c r="AB1001" s="7">
        <f t="shared" si="76"/>
        <v>9</v>
      </c>
      <c r="AC1001" s="7">
        <f t="shared" si="73"/>
        <v>9</v>
      </c>
      <c r="AD1001" s="7"/>
      <c r="AE1001" s="7"/>
      <c r="AF1001" s="7"/>
      <c r="AG1001" s="7"/>
      <c r="AH1001" s="7"/>
      <c r="AI1001" s="7"/>
      <c r="AJ1001" s="10" t="s">
        <v>294</v>
      </c>
      <c r="AK1001" s="7"/>
      <c r="AL1001" s="9"/>
      <c r="AM1001" s="7" t="s">
        <v>71</v>
      </c>
      <c r="AN1001" s="7" t="s">
        <v>71</v>
      </c>
      <c r="AO1001" s="12"/>
    </row>
    <row r="1002" spans="1:41" s="11" customFormat="1" x14ac:dyDescent="0.25">
      <c r="A1002" s="2">
        <v>1001</v>
      </c>
      <c r="B1002" s="7" t="s">
        <v>856</v>
      </c>
      <c r="C1002" s="7" t="s">
        <v>50</v>
      </c>
      <c r="D1002" s="7">
        <v>17</v>
      </c>
      <c r="E1002" s="7">
        <v>17</v>
      </c>
      <c r="F1002" s="8">
        <v>1</v>
      </c>
      <c r="G1002" s="8">
        <v>1</v>
      </c>
      <c r="H1002" s="7">
        <v>1</v>
      </c>
      <c r="I1002" s="7">
        <v>1</v>
      </c>
      <c r="J1002" s="9" t="s">
        <v>35</v>
      </c>
      <c r="K1002" s="7">
        <v>2</v>
      </c>
      <c r="L1002" s="7" t="s">
        <v>52</v>
      </c>
      <c r="M1002" s="7">
        <f t="shared" si="72"/>
        <v>1</v>
      </c>
      <c r="N1002" s="9" t="s">
        <v>34</v>
      </c>
      <c r="O1002" s="7">
        <v>3</v>
      </c>
      <c r="P1002" s="9" t="s">
        <v>63</v>
      </c>
      <c r="Q1002" s="7" t="s">
        <v>38</v>
      </c>
      <c r="R1002" s="7" t="s">
        <v>52</v>
      </c>
      <c r="S1002" s="10" t="s">
        <v>1492</v>
      </c>
      <c r="T1002" s="7"/>
      <c r="U1002" s="7"/>
      <c r="V1002" s="7"/>
      <c r="W1002" s="7"/>
      <c r="X1002" s="7"/>
      <c r="Y1002" s="7">
        <v>7</v>
      </c>
      <c r="Z1002" s="7">
        <v>7</v>
      </c>
      <c r="AA1002" s="7">
        <v>100</v>
      </c>
      <c r="AB1002" s="7">
        <f t="shared" si="76"/>
        <v>2.3333333333333335</v>
      </c>
      <c r="AC1002" s="7">
        <f t="shared" si="73"/>
        <v>2.3333333333333335</v>
      </c>
      <c r="AD1002" s="7"/>
      <c r="AE1002" s="7"/>
      <c r="AF1002" s="7"/>
      <c r="AG1002" s="7"/>
      <c r="AH1002" s="7"/>
      <c r="AI1002" s="7"/>
      <c r="AJ1002" s="7"/>
      <c r="AK1002" s="7"/>
      <c r="AL1002" s="9"/>
      <c r="AM1002" s="7" t="s">
        <v>71</v>
      </c>
      <c r="AN1002" s="7" t="s">
        <v>71</v>
      </c>
      <c r="AO1002" s="12"/>
    </row>
    <row r="1003" spans="1:41" s="11" customFormat="1" x14ac:dyDescent="0.25">
      <c r="A1003" s="2">
        <v>1002</v>
      </c>
      <c r="B1003" s="7" t="s">
        <v>856</v>
      </c>
      <c r="C1003" s="7" t="s">
        <v>50</v>
      </c>
      <c r="D1003" s="7">
        <v>9</v>
      </c>
      <c r="E1003" s="7">
        <v>9</v>
      </c>
      <c r="F1003" s="8">
        <v>1</v>
      </c>
      <c r="G1003" s="8">
        <v>1</v>
      </c>
      <c r="H1003" s="7">
        <v>1</v>
      </c>
      <c r="I1003" s="7">
        <v>1</v>
      </c>
      <c r="J1003" s="9" t="s">
        <v>35</v>
      </c>
      <c r="K1003" s="7">
        <v>2</v>
      </c>
      <c r="L1003" s="7" t="s">
        <v>52</v>
      </c>
      <c r="M1003" s="7">
        <f t="shared" si="72"/>
        <v>1</v>
      </c>
      <c r="N1003" s="9" t="s">
        <v>34</v>
      </c>
      <c r="O1003" s="7">
        <v>2</v>
      </c>
      <c r="P1003" s="9" t="s">
        <v>63</v>
      </c>
      <c r="Q1003" s="7" t="s">
        <v>38</v>
      </c>
      <c r="R1003" s="7" t="s">
        <v>52</v>
      </c>
      <c r="S1003" s="10" t="s">
        <v>1492</v>
      </c>
      <c r="T1003" s="7"/>
      <c r="U1003" s="7"/>
      <c r="V1003" s="7"/>
      <c r="W1003" s="7"/>
      <c r="X1003" s="7"/>
      <c r="Y1003" s="7">
        <v>10</v>
      </c>
      <c r="Z1003" s="7">
        <v>10</v>
      </c>
      <c r="AA1003" s="7">
        <v>90</v>
      </c>
      <c r="AB1003" s="7">
        <f t="shared" si="76"/>
        <v>3.3333333333333335</v>
      </c>
      <c r="AC1003" s="7">
        <f t="shared" si="73"/>
        <v>3.3333333333333335</v>
      </c>
      <c r="AD1003" s="7"/>
      <c r="AE1003" s="7"/>
      <c r="AF1003" s="7"/>
      <c r="AG1003" s="7"/>
      <c r="AH1003" s="7"/>
      <c r="AI1003" s="7"/>
      <c r="AJ1003" s="7"/>
      <c r="AK1003" s="7"/>
      <c r="AL1003" s="9"/>
      <c r="AM1003" s="7" t="s">
        <v>71</v>
      </c>
      <c r="AN1003" s="7" t="s">
        <v>71</v>
      </c>
      <c r="AO1003" s="12"/>
    </row>
    <row r="1004" spans="1:41" s="11" customFormat="1" x14ac:dyDescent="0.25">
      <c r="A1004" s="2">
        <v>1003</v>
      </c>
      <c r="B1004" s="7" t="s">
        <v>856</v>
      </c>
      <c r="C1004" s="7" t="s">
        <v>104</v>
      </c>
      <c r="D1004" s="7">
        <v>140</v>
      </c>
      <c r="E1004" s="7">
        <v>140</v>
      </c>
      <c r="F1004" s="8">
        <v>1</v>
      </c>
      <c r="G1004" s="8">
        <v>4</v>
      </c>
      <c r="H1004" s="7">
        <v>4</v>
      </c>
      <c r="I1004" s="7">
        <v>4</v>
      </c>
      <c r="J1004" s="9" t="s">
        <v>876</v>
      </c>
      <c r="K1004" s="7">
        <v>1</v>
      </c>
      <c r="L1004" s="7" t="s">
        <v>52</v>
      </c>
      <c r="M1004" s="7">
        <f t="shared" si="72"/>
        <v>1</v>
      </c>
      <c r="N1004" s="9" t="s">
        <v>82</v>
      </c>
      <c r="O1004" s="7">
        <v>0</v>
      </c>
      <c r="P1004" s="9" t="s">
        <v>36</v>
      </c>
      <c r="Q1004" s="7" t="s">
        <v>38</v>
      </c>
      <c r="R1004" s="7" t="s">
        <v>38</v>
      </c>
      <c r="S1004" s="10" t="s">
        <v>2007</v>
      </c>
      <c r="T1004" s="7"/>
      <c r="U1004" s="7"/>
      <c r="V1004" s="7"/>
      <c r="W1004" s="7"/>
      <c r="X1004" s="7">
        <v>5</v>
      </c>
      <c r="Y1004" s="7"/>
      <c r="Z1004" s="7"/>
      <c r="AA1004" s="7"/>
      <c r="AB1004" s="7">
        <f t="shared" si="76"/>
        <v>1.6666666666666667</v>
      </c>
      <c r="AC1004" s="7">
        <f t="shared" si="73"/>
        <v>1.6666666666666667</v>
      </c>
      <c r="AD1004" s="7"/>
      <c r="AE1004" s="7">
        <v>1</v>
      </c>
      <c r="AF1004" s="7" t="s">
        <v>155</v>
      </c>
      <c r="AG1004" s="7" t="s">
        <v>877</v>
      </c>
      <c r="AH1004" s="7"/>
      <c r="AI1004" s="7"/>
      <c r="AJ1004" s="7"/>
      <c r="AK1004" s="7"/>
      <c r="AL1004" s="9"/>
      <c r="AM1004" s="7" t="s">
        <v>71</v>
      </c>
      <c r="AN1004" s="7" t="s">
        <v>71</v>
      </c>
      <c r="AO1004" s="12"/>
    </row>
    <row r="1005" spans="1:41" s="11" customFormat="1" x14ac:dyDescent="0.25">
      <c r="A1005" s="2">
        <v>1004</v>
      </c>
      <c r="B1005" s="7" t="s">
        <v>856</v>
      </c>
      <c r="C1005" s="7" t="s">
        <v>89</v>
      </c>
      <c r="D1005" s="7" t="s">
        <v>878</v>
      </c>
      <c r="E1005" s="7">
        <f>88+6</f>
        <v>94</v>
      </c>
      <c r="F1005" s="8">
        <v>3</v>
      </c>
      <c r="G1005" s="8">
        <v>3</v>
      </c>
      <c r="H1005" s="7" t="s">
        <v>97</v>
      </c>
      <c r="I1005" s="7">
        <v>3</v>
      </c>
      <c r="J1005" s="9" t="s">
        <v>353</v>
      </c>
      <c r="K1005" s="7"/>
      <c r="L1005" s="7" t="s">
        <v>38</v>
      </c>
      <c r="M1005" s="7">
        <f t="shared" si="72"/>
        <v>0</v>
      </c>
      <c r="N1005" s="9"/>
      <c r="O1005" s="7"/>
      <c r="P1005" s="9"/>
      <c r="Q1005" s="7"/>
      <c r="R1005" s="7"/>
      <c r="S1005" s="7"/>
      <c r="T1005" s="7"/>
      <c r="U1005" s="7"/>
      <c r="V1005" s="7"/>
      <c r="W1005" s="7"/>
      <c r="X1005" s="7">
        <v>3</v>
      </c>
      <c r="Y1005" s="7"/>
      <c r="Z1005" s="7"/>
      <c r="AA1005" s="7"/>
      <c r="AB1005" s="7">
        <f t="shared" si="76"/>
        <v>1</v>
      </c>
      <c r="AC1005" s="7">
        <f t="shared" si="73"/>
        <v>0</v>
      </c>
      <c r="AD1005" s="7"/>
      <c r="AE1005" s="7"/>
      <c r="AF1005" s="7"/>
      <c r="AG1005" s="7"/>
      <c r="AH1005" s="7"/>
      <c r="AI1005" s="7"/>
      <c r="AJ1005" s="7"/>
      <c r="AK1005" s="7"/>
      <c r="AL1005" s="9"/>
      <c r="AM1005" s="7" t="s">
        <v>71</v>
      </c>
      <c r="AN1005" s="7" t="s">
        <v>71</v>
      </c>
      <c r="AO1005" s="15" t="s">
        <v>2595</v>
      </c>
    </row>
    <row r="1006" spans="1:41" s="11" customFormat="1" x14ac:dyDescent="0.25">
      <c r="A1006" s="2">
        <v>1005</v>
      </c>
      <c r="B1006" s="7" t="s">
        <v>856</v>
      </c>
      <c r="C1006" s="7" t="s">
        <v>104</v>
      </c>
      <c r="D1006" s="7">
        <v>24</v>
      </c>
      <c r="E1006" s="7">
        <v>24</v>
      </c>
      <c r="F1006" s="8">
        <v>1</v>
      </c>
      <c r="G1006" s="8">
        <v>1</v>
      </c>
      <c r="H1006" s="7">
        <v>1</v>
      </c>
      <c r="I1006" s="7">
        <v>1</v>
      </c>
      <c r="J1006" s="9" t="s">
        <v>353</v>
      </c>
      <c r="K1006" s="7"/>
      <c r="L1006" s="7" t="s">
        <v>38</v>
      </c>
      <c r="M1006" s="7">
        <f t="shared" si="72"/>
        <v>0</v>
      </c>
      <c r="N1006" s="9" t="s">
        <v>82</v>
      </c>
      <c r="O1006" s="7">
        <v>0</v>
      </c>
      <c r="P1006" s="9" t="s">
        <v>36</v>
      </c>
      <c r="Q1006" s="7" t="s">
        <v>38</v>
      </c>
      <c r="R1006" s="7" t="s">
        <v>38</v>
      </c>
      <c r="S1006" s="13" t="s">
        <v>1827</v>
      </c>
      <c r="T1006" s="7"/>
      <c r="U1006" s="7"/>
      <c r="V1006" s="7"/>
      <c r="W1006" s="7"/>
      <c r="X1006" s="7">
        <v>3</v>
      </c>
      <c r="Y1006" s="7"/>
      <c r="Z1006" s="7"/>
      <c r="AA1006" s="7"/>
      <c r="AB1006" s="7">
        <f t="shared" si="76"/>
        <v>1</v>
      </c>
      <c r="AC1006" s="7">
        <f t="shared" si="73"/>
        <v>0</v>
      </c>
      <c r="AD1006" s="7"/>
      <c r="AE1006" s="7">
        <v>1</v>
      </c>
      <c r="AF1006" s="7"/>
      <c r="AG1006" s="7" t="s">
        <v>879</v>
      </c>
      <c r="AH1006" s="7"/>
      <c r="AI1006" s="7"/>
      <c r="AJ1006" s="7"/>
      <c r="AK1006" s="7"/>
      <c r="AL1006" s="9"/>
      <c r="AM1006" s="7" t="s">
        <v>71</v>
      </c>
      <c r="AN1006" s="7" t="s">
        <v>71</v>
      </c>
      <c r="AO1006" s="12"/>
    </row>
    <row r="1007" spans="1:41" s="11" customFormat="1" x14ac:dyDescent="0.25">
      <c r="A1007" s="2">
        <v>1006</v>
      </c>
      <c r="B1007" s="7" t="s">
        <v>856</v>
      </c>
      <c r="C1007" s="7" t="s">
        <v>89</v>
      </c>
      <c r="D1007" s="7" t="s">
        <v>880</v>
      </c>
      <c r="E1007" s="7">
        <f>86+10</f>
        <v>96</v>
      </c>
      <c r="F1007" s="8">
        <v>2</v>
      </c>
      <c r="G1007" s="8">
        <v>3</v>
      </c>
      <c r="H1007" s="7" t="s">
        <v>293</v>
      </c>
      <c r="I1007" s="7">
        <v>3</v>
      </c>
      <c r="J1007" s="9" t="s">
        <v>219</v>
      </c>
      <c r="K1007" s="7">
        <v>13</v>
      </c>
      <c r="L1007" s="7" t="s">
        <v>52</v>
      </c>
      <c r="M1007" s="7">
        <f t="shared" si="72"/>
        <v>2</v>
      </c>
      <c r="N1007" s="9"/>
      <c r="O1007" s="7"/>
      <c r="P1007" s="9"/>
      <c r="Q1007" s="7"/>
      <c r="R1007" s="7"/>
      <c r="S1007" s="7"/>
      <c r="T1007" s="7"/>
      <c r="U1007" s="7"/>
      <c r="V1007" s="7"/>
      <c r="W1007" s="7"/>
      <c r="X1007" s="7">
        <v>3</v>
      </c>
      <c r="Y1007" s="7"/>
      <c r="Z1007" s="7"/>
      <c r="AA1007" s="7"/>
      <c r="AB1007" s="7">
        <f t="shared" si="76"/>
        <v>1</v>
      </c>
      <c r="AC1007" s="7">
        <f t="shared" si="73"/>
        <v>1</v>
      </c>
      <c r="AD1007" s="7"/>
      <c r="AE1007" s="7"/>
      <c r="AF1007" s="7"/>
      <c r="AG1007" s="7"/>
      <c r="AH1007" s="7"/>
      <c r="AI1007" s="7"/>
      <c r="AJ1007" s="7"/>
      <c r="AK1007" s="7"/>
      <c r="AL1007" s="9"/>
      <c r="AM1007" s="7" t="s">
        <v>71</v>
      </c>
      <c r="AN1007" s="7" t="s">
        <v>71</v>
      </c>
      <c r="AO1007" s="12"/>
    </row>
    <row r="1008" spans="1:41" s="11" customFormat="1" x14ac:dyDescent="0.25">
      <c r="A1008" s="2">
        <v>1007</v>
      </c>
      <c r="B1008" s="7" t="s">
        <v>856</v>
      </c>
      <c r="C1008" s="7" t="s">
        <v>100</v>
      </c>
      <c r="D1008" s="7">
        <v>23</v>
      </c>
      <c r="E1008" s="7">
        <v>23</v>
      </c>
      <c r="F1008" s="8">
        <v>1</v>
      </c>
      <c r="G1008" s="8">
        <v>1</v>
      </c>
      <c r="H1008" s="7">
        <v>1</v>
      </c>
      <c r="I1008" s="7">
        <v>1</v>
      </c>
      <c r="J1008" s="9" t="s">
        <v>70</v>
      </c>
      <c r="K1008" s="7">
        <v>1</v>
      </c>
      <c r="L1008" s="7" t="s">
        <v>52</v>
      </c>
      <c r="M1008" s="7">
        <f t="shared" si="72"/>
        <v>1</v>
      </c>
      <c r="N1008" s="9"/>
      <c r="O1008" s="7"/>
      <c r="P1008" s="9"/>
      <c r="Q1008" s="7"/>
      <c r="R1008" s="7"/>
      <c r="S1008" s="7"/>
      <c r="T1008" s="7"/>
      <c r="U1008" s="7"/>
      <c r="V1008" s="7"/>
      <c r="W1008" s="7"/>
      <c r="X1008" s="7">
        <v>3</v>
      </c>
      <c r="Y1008" s="7"/>
      <c r="Z1008" s="7"/>
      <c r="AA1008" s="7"/>
      <c r="AB1008" s="7">
        <f t="shared" si="76"/>
        <v>1</v>
      </c>
      <c r="AC1008" s="7">
        <f t="shared" si="73"/>
        <v>1</v>
      </c>
      <c r="AD1008" s="7"/>
      <c r="AE1008" s="7"/>
      <c r="AF1008" s="7"/>
      <c r="AG1008" s="7"/>
      <c r="AH1008" s="7"/>
      <c r="AI1008" s="7"/>
      <c r="AJ1008" s="7"/>
      <c r="AK1008" s="7"/>
      <c r="AL1008" s="9"/>
      <c r="AM1008" s="7" t="s">
        <v>71</v>
      </c>
      <c r="AN1008" s="7" t="s">
        <v>71</v>
      </c>
      <c r="AO1008" s="12"/>
    </row>
    <row r="1009" spans="1:41" s="11" customFormat="1" x14ac:dyDescent="0.25">
      <c r="A1009" s="2">
        <v>1008</v>
      </c>
      <c r="B1009" s="7" t="s">
        <v>856</v>
      </c>
      <c r="C1009" s="7" t="s">
        <v>89</v>
      </c>
      <c r="D1009" s="7" t="s">
        <v>881</v>
      </c>
      <c r="E1009" s="7">
        <v>24</v>
      </c>
      <c r="F1009" s="8">
        <v>2</v>
      </c>
      <c r="G1009" s="8">
        <v>2</v>
      </c>
      <c r="H1009" s="7" t="s">
        <v>87</v>
      </c>
      <c r="I1009" s="7">
        <v>2</v>
      </c>
      <c r="J1009" s="9" t="s">
        <v>219</v>
      </c>
      <c r="K1009" s="7">
        <v>1</v>
      </c>
      <c r="L1009" s="7" t="s">
        <v>52</v>
      </c>
      <c r="M1009" s="7">
        <f t="shared" si="72"/>
        <v>2</v>
      </c>
      <c r="N1009" s="9"/>
      <c r="O1009" s="7"/>
      <c r="P1009" s="9"/>
      <c r="Q1009" s="7"/>
      <c r="R1009" s="7"/>
      <c r="S1009" s="7"/>
      <c r="T1009" s="7"/>
      <c r="U1009" s="7"/>
      <c r="V1009" s="7"/>
      <c r="W1009" s="7"/>
      <c r="X1009" s="7">
        <v>3</v>
      </c>
      <c r="Y1009" s="7"/>
      <c r="Z1009" s="7"/>
      <c r="AA1009" s="7"/>
      <c r="AB1009" s="7">
        <f t="shared" si="76"/>
        <v>1</v>
      </c>
      <c r="AC1009" s="7">
        <f t="shared" si="73"/>
        <v>1</v>
      </c>
      <c r="AD1009" s="7"/>
      <c r="AE1009" s="7"/>
      <c r="AF1009" s="7"/>
      <c r="AG1009" s="7"/>
      <c r="AH1009" s="7"/>
      <c r="AI1009" s="7"/>
      <c r="AJ1009" s="7"/>
      <c r="AK1009" s="7"/>
      <c r="AL1009" s="9"/>
      <c r="AM1009" s="7" t="s">
        <v>71</v>
      </c>
      <c r="AN1009" s="7" t="s">
        <v>71</v>
      </c>
      <c r="AO1009" s="12"/>
    </row>
    <row r="1010" spans="1:41" s="11" customFormat="1" x14ac:dyDescent="0.25">
      <c r="A1010" s="2">
        <v>1009</v>
      </c>
      <c r="B1010" s="7" t="s">
        <v>856</v>
      </c>
      <c r="C1010" s="7" t="s">
        <v>100</v>
      </c>
      <c r="D1010" s="7">
        <v>2</v>
      </c>
      <c r="E1010" s="7">
        <v>2</v>
      </c>
      <c r="F1010" s="8">
        <v>1</v>
      </c>
      <c r="G1010" s="8">
        <v>1</v>
      </c>
      <c r="H1010" s="7">
        <v>1</v>
      </c>
      <c r="I1010" s="7">
        <v>1</v>
      </c>
      <c r="J1010" s="9" t="s">
        <v>35</v>
      </c>
      <c r="K1010" s="7">
        <v>2</v>
      </c>
      <c r="L1010" s="7" t="s">
        <v>52</v>
      </c>
      <c r="M1010" s="7">
        <f t="shared" si="72"/>
        <v>1</v>
      </c>
      <c r="N1010" s="9" t="s">
        <v>34</v>
      </c>
      <c r="O1010" s="7">
        <v>0</v>
      </c>
      <c r="P1010" s="9" t="s">
        <v>34</v>
      </c>
      <c r="Q1010" s="7" t="s">
        <v>52</v>
      </c>
      <c r="R1010" s="7" t="s">
        <v>38</v>
      </c>
      <c r="S1010" s="7"/>
      <c r="T1010" s="7"/>
      <c r="U1010" s="7"/>
      <c r="V1010" s="7"/>
      <c r="W1010" s="7"/>
      <c r="X1010" s="7">
        <v>3</v>
      </c>
      <c r="Y1010" s="7"/>
      <c r="Z1010" s="7"/>
      <c r="AA1010" s="7"/>
      <c r="AB1010" s="7">
        <f t="shared" si="76"/>
        <v>1</v>
      </c>
      <c r="AC1010" s="7">
        <f t="shared" si="73"/>
        <v>1</v>
      </c>
      <c r="AD1010" s="7"/>
      <c r="AE1010" s="7"/>
      <c r="AF1010" s="7"/>
      <c r="AG1010" s="7"/>
      <c r="AH1010" s="7"/>
      <c r="AI1010" s="7"/>
      <c r="AJ1010" s="7"/>
      <c r="AK1010" s="7"/>
      <c r="AL1010" s="9"/>
      <c r="AM1010" s="7" t="s">
        <v>71</v>
      </c>
      <c r="AN1010" s="7" t="s">
        <v>71</v>
      </c>
      <c r="AO1010" s="12"/>
    </row>
    <row r="1011" spans="1:41" s="11" customFormat="1" ht="24" x14ac:dyDescent="0.25">
      <c r="A1011" s="2">
        <v>1010</v>
      </c>
      <c r="B1011" s="7" t="s">
        <v>856</v>
      </c>
      <c r="C1011" s="7" t="s">
        <v>882</v>
      </c>
      <c r="D1011" s="7" t="s">
        <v>883</v>
      </c>
      <c r="E1011" s="7">
        <f>124+42+40+39+28</f>
        <v>273</v>
      </c>
      <c r="F1011" s="8">
        <v>1</v>
      </c>
      <c r="G1011" s="8">
        <v>5</v>
      </c>
      <c r="H1011" s="7">
        <v>5</v>
      </c>
      <c r="I1011" s="7">
        <v>5</v>
      </c>
      <c r="J1011" s="9" t="s">
        <v>219</v>
      </c>
      <c r="K1011" s="7">
        <v>13</v>
      </c>
      <c r="L1011" s="7" t="s">
        <v>52</v>
      </c>
      <c r="M1011" s="7">
        <f t="shared" si="72"/>
        <v>1</v>
      </c>
      <c r="N1011" s="9" t="s">
        <v>34</v>
      </c>
      <c r="O1011" s="7">
        <v>1</v>
      </c>
      <c r="P1011" s="9" t="s">
        <v>37</v>
      </c>
      <c r="Q1011" s="7" t="s">
        <v>38</v>
      </c>
      <c r="R1011" s="7" t="s">
        <v>38</v>
      </c>
      <c r="S1011" s="10" t="s">
        <v>2008</v>
      </c>
      <c r="T1011" s="7"/>
      <c r="U1011" s="7"/>
      <c r="V1011" s="7"/>
      <c r="W1011" s="7"/>
      <c r="X1011" s="7">
        <v>5</v>
      </c>
      <c r="Y1011" s="7"/>
      <c r="Z1011" s="7"/>
      <c r="AA1011" s="7"/>
      <c r="AB1011" s="7">
        <f t="shared" si="76"/>
        <v>1.6666666666666667</v>
      </c>
      <c r="AC1011" s="7">
        <f t="shared" si="73"/>
        <v>1.6666666666666667</v>
      </c>
      <c r="AD1011" s="7"/>
      <c r="AE1011" s="7"/>
      <c r="AF1011" s="7"/>
      <c r="AG1011" s="7"/>
      <c r="AH1011" s="7"/>
      <c r="AI1011" s="7"/>
      <c r="AJ1011" s="10" t="s">
        <v>2379</v>
      </c>
      <c r="AK1011" s="7"/>
      <c r="AL1011" s="9"/>
      <c r="AM1011" s="7" t="s">
        <v>884</v>
      </c>
      <c r="AN1011" s="7" t="s">
        <v>662</v>
      </c>
      <c r="AO1011" s="15" t="s">
        <v>2605</v>
      </c>
    </row>
    <row r="1012" spans="1:41" s="11" customFormat="1" x14ac:dyDescent="0.25">
      <c r="A1012" s="2">
        <v>1011</v>
      </c>
      <c r="B1012" s="7" t="s">
        <v>856</v>
      </c>
      <c r="C1012" s="7" t="s">
        <v>50</v>
      </c>
      <c r="D1012" s="7">
        <v>38</v>
      </c>
      <c r="E1012" s="7">
        <v>38</v>
      </c>
      <c r="F1012" s="8">
        <v>1</v>
      </c>
      <c r="G1012" s="8">
        <v>1</v>
      </c>
      <c r="H1012" s="7">
        <v>1</v>
      </c>
      <c r="I1012" s="7">
        <v>1</v>
      </c>
      <c r="J1012" s="9" t="s">
        <v>219</v>
      </c>
      <c r="K1012" s="9" t="s">
        <v>852</v>
      </c>
      <c r="L1012" s="7" t="s">
        <v>52</v>
      </c>
      <c r="M1012" s="7">
        <f t="shared" si="72"/>
        <v>1</v>
      </c>
      <c r="N1012" s="9" t="s">
        <v>82</v>
      </c>
      <c r="O1012" s="7">
        <v>0</v>
      </c>
      <c r="P1012" s="9" t="s">
        <v>36</v>
      </c>
      <c r="Q1012" s="9" t="s">
        <v>38</v>
      </c>
      <c r="R1012" s="9" t="s">
        <v>38</v>
      </c>
      <c r="S1012" s="13" t="s">
        <v>1827</v>
      </c>
      <c r="T1012" s="7"/>
      <c r="U1012" s="7"/>
      <c r="V1012" s="7"/>
      <c r="W1012" s="7"/>
      <c r="X1012" s="7"/>
      <c r="Y1012" s="7">
        <v>10</v>
      </c>
      <c r="Z1012" s="7">
        <v>10</v>
      </c>
      <c r="AA1012" s="7">
        <v>150</v>
      </c>
      <c r="AB1012" s="7">
        <f t="shared" si="76"/>
        <v>3.3333333333333335</v>
      </c>
      <c r="AC1012" s="7">
        <f t="shared" si="73"/>
        <v>3.3333333333333335</v>
      </c>
      <c r="AD1012" s="7"/>
      <c r="AE1012" s="7"/>
      <c r="AF1012" s="7"/>
      <c r="AG1012" s="7"/>
      <c r="AH1012" s="7"/>
      <c r="AI1012" s="7"/>
      <c r="AJ1012" s="7"/>
      <c r="AK1012" s="7"/>
      <c r="AL1012" s="9"/>
      <c r="AM1012" s="7" t="s">
        <v>636</v>
      </c>
      <c r="AN1012" s="7" t="s">
        <v>662</v>
      </c>
      <c r="AO1012" s="12"/>
    </row>
    <row r="1013" spans="1:41" s="11" customFormat="1" ht="24" x14ac:dyDescent="0.25">
      <c r="A1013" s="2">
        <v>1012</v>
      </c>
      <c r="B1013" s="7" t="s">
        <v>856</v>
      </c>
      <c r="C1013" s="7" t="s">
        <v>885</v>
      </c>
      <c r="D1013" s="7" t="s">
        <v>886</v>
      </c>
      <c r="E1013" s="7">
        <f>241+57+33+21+20+11</f>
        <v>383</v>
      </c>
      <c r="F1013" s="8">
        <v>1</v>
      </c>
      <c r="G1013" s="8">
        <v>6</v>
      </c>
      <c r="H1013" s="7">
        <v>6</v>
      </c>
      <c r="I1013" s="7">
        <v>6</v>
      </c>
      <c r="J1013" s="9" t="s">
        <v>353</v>
      </c>
      <c r="K1013" s="7"/>
      <c r="L1013" s="7" t="s">
        <v>52</v>
      </c>
      <c r="M1013" s="7">
        <f t="shared" si="72"/>
        <v>1</v>
      </c>
      <c r="N1013" s="9" t="s">
        <v>82</v>
      </c>
      <c r="O1013" s="7">
        <v>0</v>
      </c>
      <c r="P1013" s="9" t="s">
        <v>36</v>
      </c>
      <c r="Q1013" s="7" t="s">
        <v>38</v>
      </c>
      <c r="R1013" s="7" t="s">
        <v>38</v>
      </c>
      <c r="S1013" s="10" t="s">
        <v>2009</v>
      </c>
      <c r="T1013" s="7"/>
      <c r="U1013" s="7"/>
      <c r="V1013" s="7"/>
      <c r="W1013" s="7"/>
      <c r="X1013" s="7">
        <v>5</v>
      </c>
      <c r="Y1013" s="7">
        <v>18</v>
      </c>
      <c r="Z1013" s="7">
        <v>18</v>
      </c>
      <c r="AA1013" s="7">
        <v>180</v>
      </c>
      <c r="AB1013" s="7">
        <f t="shared" si="76"/>
        <v>7.666666666666667</v>
      </c>
      <c r="AC1013" s="7">
        <f t="shared" si="73"/>
        <v>7.666666666666667</v>
      </c>
      <c r="AD1013" s="7"/>
      <c r="AE1013" s="7"/>
      <c r="AF1013" s="7"/>
      <c r="AG1013" s="7"/>
      <c r="AH1013" s="7"/>
      <c r="AI1013" s="7"/>
      <c r="AJ1013" s="10" t="s">
        <v>2380</v>
      </c>
      <c r="AK1013" s="7"/>
      <c r="AL1013" s="9"/>
      <c r="AM1013" s="7" t="s">
        <v>636</v>
      </c>
      <c r="AN1013" s="7" t="s">
        <v>662</v>
      </c>
      <c r="AO1013" s="15" t="s">
        <v>2606</v>
      </c>
    </row>
    <row r="1014" spans="1:41" s="11" customFormat="1" ht="24" x14ac:dyDescent="0.25">
      <c r="A1014" s="2">
        <v>1013</v>
      </c>
      <c r="B1014" s="7" t="s">
        <v>887</v>
      </c>
      <c r="C1014" s="7" t="s">
        <v>32</v>
      </c>
      <c r="D1014" s="7">
        <v>32</v>
      </c>
      <c r="E1014" s="7">
        <v>32</v>
      </c>
      <c r="F1014" s="8">
        <v>1</v>
      </c>
      <c r="G1014" s="8">
        <v>4</v>
      </c>
      <c r="H1014" s="7" t="s">
        <v>91</v>
      </c>
      <c r="I1014" s="7">
        <v>4</v>
      </c>
      <c r="J1014" s="9" t="s">
        <v>176</v>
      </c>
      <c r="K1014" s="7">
        <v>3</v>
      </c>
      <c r="L1014" s="7" t="s">
        <v>52</v>
      </c>
      <c r="M1014" s="7">
        <f t="shared" si="72"/>
        <v>1</v>
      </c>
      <c r="N1014" s="9" t="s">
        <v>177</v>
      </c>
      <c r="O1014" s="7">
        <v>0</v>
      </c>
      <c r="P1014" s="9" t="s">
        <v>63</v>
      </c>
      <c r="Q1014" s="7" t="s">
        <v>38</v>
      </c>
      <c r="R1014" s="7" t="s">
        <v>38</v>
      </c>
      <c r="S1014" s="10" t="s">
        <v>2010</v>
      </c>
      <c r="T1014" s="7"/>
      <c r="U1014" s="7"/>
      <c r="V1014" s="7"/>
      <c r="W1014" s="7"/>
      <c r="X1014" s="7"/>
      <c r="Y1014" s="7">
        <v>70</v>
      </c>
      <c r="Z1014" s="7">
        <v>70</v>
      </c>
      <c r="AA1014" s="7">
        <v>47</v>
      </c>
      <c r="AB1014" s="7">
        <f t="shared" si="76"/>
        <v>23.333333333333332</v>
      </c>
      <c r="AC1014" s="7">
        <f t="shared" si="73"/>
        <v>23.333333333333332</v>
      </c>
      <c r="AD1014" s="7"/>
      <c r="AE1014" s="7"/>
      <c r="AF1014" s="7"/>
      <c r="AG1014" s="7"/>
      <c r="AH1014" s="7"/>
      <c r="AI1014" s="7"/>
      <c r="AJ1014" s="10" t="s">
        <v>2381</v>
      </c>
      <c r="AK1014" s="7"/>
      <c r="AL1014" s="9" t="s">
        <v>38</v>
      </c>
      <c r="AM1014" s="7" t="s">
        <v>582</v>
      </c>
      <c r="AN1014" s="7" t="s">
        <v>2851</v>
      </c>
      <c r="AO1014" s="15" t="s">
        <v>2607</v>
      </c>
    </row>
    <row r="1015" spans="1:41" s="11" customFormat="1" ht="24" x14ac:dyDescent="0.25">
      <c r="A1015" s="2">
        <v>1014</v>
      </c>
      <c r="B1015" s="7" t="s">
        <v>856</v>
      </c>
      <c r="C1015" s="7" t="s">
        <v>89</v>
      </c>
      <c r="D1015" s="7" t="s">
        <v>888</v>
      </c>
      <c r="E1015" s="7">
        <f>95+49+44+31+29</f>
        <v>248</v>
      </c>
      <c r="F1015" s="8">
        <v>1</v>
      </c>
      <c r="G1015" s="8">
        <v>9</v>
      </c>
      <c r="H1015" s="7" t="s">
        <v>360</v>
      </c>
      <c r="I1015" s="7">
        <v>9</v>
      </c>
      <c r="J1015" s="9" t="s">
        <v>176</v>
      </c>
      <c r="K1015" s="7">
        <v>6</v>
      </c>
      <c r="L1015" s="7" t="s">
        <v>52</v>
      </c>
      <c r="M1015" s="7">
        <f t="shared" si="72"/>
        <v>1</v>
      </c>
      <c r="N1015" s="9" t="s">
        <v>177</v>
      </c>
      <c r="O1015" s="7">
        <v>0</v>
      </c>
      <c r="P1015" s="9" t="s">
        <v>63</v>
      </c>
      <c r="Q1015" s="7" t="s">
        <v>38</v>
      </c>
      <c r="R1015" s="7" t="s">
        <v>52</v>
      </c>
      <c r="S1015" s="10" t="s">
        <v>2011</v>
      </c>
      <c r="T1015" s="7"/>
      <c r="U1015" s="7"/>
      <c r="V1015" s="7"/>
      <c r="W1015" s="7"/>
      <c r="X1015" s="7">
        <v>3</v>
      </c>
      <c r="Y1015" s="7"/>
      <c r="Z1015" s="7"/>
      <c r="AA1015" s="7"/>
      <c r="AB1015" s="7">
        <f t="shared" si="76"/>
        <v>1</v>
      </c>
      <c r="AC1015" s="7">
        <f t="shared" si="73"/>
        <v>1</v>
      </c>
      <c r="AD1015" s="7"/>
      <c r="AE1015" s="7"/>
      <c r="AF1015" s="7"/>
      <c r="AG1015" s="7"/>
      <c r="AH1015" s="7"/>
      <c r="AI1015" s="10" t="s">
        <v>2313</v>
      </c>
      <c r="AJ1015" s="7"/>
      <c r="AK1015" s="7"/>
      <c r="AL1015" s="9"/>
      <c r="AM1015" s="7" t="s">
        <v>71</v>
      </c>
      <c r="AN1015" s="7" t="s">
        <v>71</v>
      </c>
      <c r="AO1015" s="12"/>
    </row>
    <row r="1016" spans="1:41" s="11" customFormat="1" ht="24" x14ac:dyDescent="0.25">
      <c r="A1016" s="2">
        <v>1015</v>
      </c>
      <c r="B1016" s="7" t="s">
        <v>856</v>
      </c>
      <c r="C1016" s="7" t="s">
        <v>32</v>
      </c>
      <c r="D1016" s="7">
        <v>76</v>
      </c>
      <c r="E1016" s="7">
        <v>76</v>
      </c>
      <c r="F1016" s="8">
        <v>1</v>
      </c>
      <c r="G1016" s="8">
        <v>1</v>
      </c>
      <c r="H1016" s="7">
        <v>1</v>
      </c>
      <c r="I1016" s="7">
        <v>1</v>
      </c>
      <c r="J1016" s="9" t="s">
        <v>176</v>
      </c>
      <c r="K1016" s="7">
        <v>3</v>
      </c>
      <c r="L1016" s="7" t="s">
        <v>52</v>
      </c>
      <c r="M1016" s="7">
        <f t="shared" si="72"/>
        <v>1</v>
      </c>
      <c r="N1016" s="9" t="s">
        <v>177</v>
      </c>
      <c r="O1016" s="7">
        <v>0</v>
      </c>
      <c r="P1016" s="9" t="s">
        <v>63</v>
      </c>
      <c r="Q1016" s="7" t="s">
        <v>38</v>
      </c>
      <c r="R1016" s="7" t="s">
        <v>38</v>
      </c>
      <c r="S1016" s="10" t="s">
        <v>2012</v>
      </c>
      <c r="T1016" s="7"/>
      <c r="U1016" s="7"/>
      <c r="V1016" s="7"/>
      <c r="W1016" s="7"/>
      <c r="X1016" s="7">
        <v>10</v>
      </c>
      <c r="Y1016" s="7">
        <v>100</v>
      </c>
      <c r="Z1016" s="7">
        <v>100</v>
      </c>
      <c r="AA1016" s="7">
        <v>51</v>
      </c>
      <c r="AB1016" s="7">
        <f t="shared" si="76"/>
        <v>36.666666666666664</v>
      </c>
      <c r="AC1016" s="7">
        <f t="shared" si="73"/>
        <v>36.666666666666664</v>
      </c>
      <c r="AD1016" s="7"/>
      <c r="AE1016" s="7"/>
      <c r="AF1016" s="7"/>
      <c r="AG1016" s="7"/>
      <c r="AH1016" s="7"/>
      <c r="AI1016" s="7"/>
      <c r="AJ1016" s="7"/>
      <c r="AK1016" s="7"/>
      <c r="AL1016" s="9"/>
      <c r="AM1016" s="7" t="s">
        <v>582</v>
      </c>
      <c r="AN1016" s="7" t="s">
        <v>2851</v>
      </c>
      <c r="AO1016" s="15" t="s">
        <v>2607</v>
      </c>
    </row>
    <row r="1017" spans="1:41" s="11" customFormat="1" ht="36" x14ac:dyDescent="0.25">
      <c r="A1017" s="2">
        <v>1016</v>
      </c>
      <c r="B1017" s="7" t="s">
        <v>856</v>
      </c>
      <c r="C1017" s="7" t="s">
        <v>823</v>
      </c>
      <c r="D1017" s="7" t="s">
        <v>889</v>
      </c>
      <c r="E1017" s="7">
        <f>89+79</f>
        <v>168</v>
      </c>
      <c r="F1017" s="8">
        <v>1</v>
      </c>
      <c r="G1017" s="8">
        <v>2</v>
      </c>
      <c r="H1017" s="7">
        <v>2</v>
      </c>
      <c r="I1017" s="7">
        <v>2</v>
      </c>
      <c r="J1017" s="9" t="s">
        <v>176</v>
      </c>
      <c r="K1017" s="9" t="s">
        <v>633</v>
      </c>
      <c r="L1017" s="7" t="s">
        <v>52</v>
      </c>
      <c r="M1017" s="7">
        <f t="shared" si="72"/>
        <v>1</v>
      </c>
      <c r="N1017" s="9" t="s">
        <v>177</v>
      </c>
      <c r="O1017" s="7">
        <v>0</v>
      </c>
      <c r="P1017" s="9" t="s">
        <v>63</v>
      </c>
      <c r="Q1017" s="9" t="s">
        <v>38</v>
      </c>
      <c r="R1017" s="9" t="s">
        <v>38</v>
      </c>
      <c r="S1017" s="13" t="s">
        <v>2013</v>
      </c>
      <c r="T1017" s="7"/>
      <c r="U1017" s="7"/>
      <c r="V1017" s="7"/>
      <c r="W1017" s="7"/>
      <c r="X1017" s="7">
        <v>3</v>
      </c>
      <c r="Y1017" s="7">
        <v>25</v>
      </c>
      <c r="Z1017" s="7">
        <v>25</v>
      </c>
      <c r="AA1017" s="7">
        <v>130</v>
      </c>
      <c r="AB1017" s="7">
        <f t="shared" si="76"/>
        <v>9.3333333333333339</v>
      </c>
      <c r="AC1017" s="7">
        <f t="shared" si="73"/>
        <v>9.3333333333333339</v>
      </c>
      <c r="AD1017" s="7"/>
      <c r="AE1017" s="7"/>
      <c r="AF1017" s="7"/>
      <c r="AG1017" s="7"/>
      <c r="AH1017" s="7"/>
      <c r="AI1017" s="7"/>
      <c r="AJ1017" s="7"/>
      <c r="AK1017" s="7"/>
      <c r="AL1017" s="9"/>
      <c r="AM1017" s="7" t="s">
        <v>137</v>
      </c>
      <c r="AN1017" s="7" t="s">
        <v>2848</v>
      </c>
      <c r="AO1017" s="15" t="s">
        <v>2608</v>
      </c>
    </row>
    <row r="1018" spans="1:41" s="11" customFormat="1" ht="24" x14ac:dyDescent="0.25">
      <c r="A1018" s="2">
        <v>1017</v>
      </c>
      <c r="B1018" s="7" t="s">
        <v>856</v>
      </c>
      <c r="C1018" s="7" t="s">
        <v>890</v>
      </c>
      <c r="D1018" s="7" t="s">
        <v>891</v>
      </c>
      <c r="E1018" s="7">
        <f>57+56+6</f>
        <v>119</v>
      </c>
      <c r="F1018" s="8">
        <v>1</v>
      </c>
      <c r="G1018" s="8">
        <v>7</v>
      </c>
      <c r="H1018" s="7" t="s">
        <v>110</v>
      </c>
      <c r="I1018" s="7">
        <v>7</v>
      </c>
      <c r="J1018" s="9" t="s">
        <v>176</v>
      </c>
      <c r="K1018" s="7">
        <v>3</v>
      </c>
      <c r="L1018" s="7" t="s">
        <v>52</v>
      </c>
      <c r="M1018" s="7">
        <f t="shared" si="72"/>
        <v>1</v>
      </c>
      <c r="N1018" s="9" t="s">
        <v>177</v>
      </c>
      <c r="O1018" s="7">
        <v>0</v>
      </c>
      <c r="P1018" s="9" t="s">
        <v>63</v>
      </c>
      <c r="Q1018" s="7" t="s">
        <v>38</v>
      </c>
      <c r="R1018" s="7" t="s">
        <v>52</v>
      </c>
      <c r="S1018" s="10" t="s">
        <v>2014</v>
      </c>
      <c r="T1018" s="7">
        <v>6</v>
      </c>
      <c r="U1018" s="7">
        <v>6</v>
      </c>
      <c r="V1018" s="7">
        <v>290</v>
      </c>
      <c r="W1018" s="7" t="s">
        <v>675</v>
      </c>
      <c r="X1018" s="7">
        <v>5</v>
      </c>
      <c r="Y1018" s="7">
        <v>11</v>
      </c>
      <c r="Z1018" s="7">
        <v>11</v>
      </c>
      <c r="AA1018" s="7">
        <v>160</v>
      </c>
      <c r="AB1018" s="7">
        <f t="shared" si="76"/>
        <v>7.333333333333333</v>
      </c>
      <c r="AC1018" s="7">
        <f t="shared" si="73"/>
        <v>7.333333333333333</v>
      </c>
      <c r="AD1018" s="7"/>
      <c r="AE1018" s="7"/>
      <c r="AF1018" s="7"/>
      <c r="AG1018" s="7"/>
      <c r="AH1018" s="7"/>
      <c r="AI1018" s="7"/>
      <c r="AJ1018" s="7"/>
      <c r="AK1018" s="7"/>
      <c r="AL1018" s="9"/>
      <c r="AM1018" s="7" t="s">
        <v>215</v>
      </c>
      <c r="AN1018" s="7" t="s">
        <v>2850</v>
      </c>
      <c r="AO1018" s="15" t="s">
        <v>2609</v>
      </c>
    </row>
    <row r="1019" spans="1:41" s="11" customFormat="1" ht="36" x14ac:dyDescent="0.25">
      <c r="A1019" s="2">
        <v>1018</v>
      </c>
      <c r="B1019" s="7" t="s">
        <v>856</v>
      </c>
      <c r="C1019" s="7" t="s">
        <v>50</v>
      </c>
      <c r="D1019" s="7" t="s">
        <v>892</v>
      </c>
      <c r="E1019" s="7">
        <f>103+38+14</f>
        <v>155</v>
      </c>
      <c r="F1019" s="8">
        <v>1</v>
      </c>
      <c r="G1019" s="8">
        <v>3</v>
      </c>
      <c r="H1019" s="7">
        <v>3</v>
      </c>
      <c r="I1019" s="7">
        <v>3</v>
      </c>
      <c r="J1019" s="9" t="s">
        <v>176</v>
      </c>
      <c r="K1019" s="7">
        <v>3</v>
      </c>
      <c r="L1019" s="7" t="s">
        <v>52</v>
      </c>
      <c r="M1019" s="7">
        <f t="shared" si="72"/>
        <v>1</v>
      </c>
      <c r="N1019" s="9" t="s">
        <v>177</v>
      </c>
      <c r="O1019" s="7">
        <v>0</v>
      </c>
      <c r="P1019" s="9" t="s">
        <v>63</v>
      </c>
      <c r="Q1019" s="7" t="s">
        <v>38</v>
      </c>
      <c r="R1019" s="7" t="s">
        <v>38</v>
      </c>
      <c r="S1019" s="10" t="s">
        <v>2015</v>
      </c>
      <c r="T1019" s="7"/>
      <c r="U1019" s="7"/>
      <c r="V1019" s="7"/>
      <c r="W1019" s="7"/>
      <c r="X1019" s="7"/>
      <c r="Y1019" s="7">
        <v>95</v>
      </c>
      <c r="Z1019" s="7">
        <v>95</v>
      </c>
      <c r="AA1019" s="7">
        <v>94</v>
      </c>
      <c r="AB1019" s="7">
        <f t="shared" si="76"/>
        <v>31.666666666666668</v>
      </c>
      <c r="AC1019" s="7">
        <f t="shared" si="73"/>
        <v>31.666666666666668</v>
      </c>
      <c r="AD1019" s="7"/>
      <c r="AE1019" s="7"/>
      <c r="AF1019" s="7"/>
      <c r="AG1019" s="7"/>
      <c r="AH1019" s="7"/>
      <c r="AI1019" s="10" t="s">
        <v>2314</v>
      </c>
      <c r="AJ1019" s="7"/>
      <c r="AK1019" s="7"/>
      <c r="AL1019" s="9"/>
      <c r="AM1019" s="7" t="s">
        <v>137</v>
      </c>
      <c r="AN1019" s="7" t="s">
        <v>2848</v>
      </c>
      <c r="AO1019" s="15" t="s">
        <v>2610</v>
      </c>
    </row>
    <row r="1020" spans="1:41" s="11" customFormat="1" ht="24" x14ac:dyDescent="0.25">
      <c r="A1020" s="2">
        <v>1019</v>
      </c>
      <c r="B1020" s="7" t="s">
        <v>856</v>
      </c>
      <c r="C1020" s="7" t="s">
        <v>78</v>
      </c>
      <c r="D1020" s="7" t="s">
        <v>893</v>
      </c>
      <c r="E1020" s="7">
        <f>39+12</f>
        <v>51</v>
      </c>
      <c r="F1020" s="8">
        <v>1</v>
      </c>
      <c r="G1020" s="8">
        <v>3</v>
      </c>
      <c r="H1020" s="7">
        <v>3</v>
      </c>
      <c r="I1020" s="7">
        <v>3</v>
      </c>
      <c r="J1020" s="9" t="s">
        <v>176</v>
      </c>
      <c r="K1020" s="7">
        <v>5</v>
      </c>
      <c r="L1020" s="7" t="s">
        <v>52</v>
      </c>
      <c r="M1020" s="7">
        <f t="shared" si="72"/>
        <v>1</v>
      </c>
      <c r="N1020" s="9" t="s">
        <v>177</v>
      </c>
      <c r="O1020" s="7">
        <v>0</v>
      </c>
      <c r="P1020" s="9" t="s">
        <v>63</v>
      </c>
      <c r="Q1020" s="7" t="s">
        <v>38</v>
      </c>
      <c r="R1020" s="7" t="s">
        <v>52</v>
      </c>
      <c r="S1020" s="10" t="s">
        <v>2016</v>
      </c>
      <c r="T1020" s="7">
        <v>20</v>
      </c>
      <c r="U1020" s="7">
        <v>20</v>
      </c>
      <c r="V1020" s="7">
        <v>240</v>
      </c>
      <c r="W1020" s="7" t="s">
        <v>79</v>
      </c>
      <c r="X1020" s="7"/>
      <c r="Y1020" s="7"/>
      <c r="Z1020" s="7"/>
      <c r="AA1020" s="7"/>
      <c r="AB1020" s="7">
        <f t="shared" si="76"/>
        <v>6.666666666666667</v>
      </c>
      <c r="AC1020" s="7">
        <f t="shared" si="73"/>
        <v>6.666666666666667</v>
      </c>
      <c r="AD1020" s="7"/>
      <c r="AE1020" s="7"/>
      <c r="AF1020" s="7"/>
      <c r="AG1020" s="7"/>
      <c r="AH1020" s="7"/>
      <c r="AI1020" s="7"/>
      <c r="AJ1020" s="7"/>
      <c r="AK1020" s="7"/>
      <c r="AL1020" s="9"/>
      <c r="AM1020" s="7" t="s">
        <v>215</v>
      </c>
      <c r="AN1020" s="7" t="s">
        <v>2850</v>
      </c>
      <c r="AO1020" s="12"/>
    </row>
    <row r="1021" spans="1:41" s="11" customFormat="1" ht="24" x14ac:dyDescent="0.25">
      <c r="A1021" s="2">
        <v>1020</v>
      </c>
      <c r="B1021" s="7" t="s">
        <v>856</v>
      </c>
      <c r="C1021" s="7" t="s">
        <v>78</v>
      </c>
      <c r="D1021" s="7">
        <v>57</v>
      </c>
      <c r="E1021" s="7">
        <v>57</v>
      </c>
      <c r="F1021" s="8">
        <v>1</v>
      </c>
      <c r="G1021" s="8">
        <v>1</v>
      </c>
      <c r="H1021" s="7">
        <v>1</v>
      </c>
      <c r="I1021" s="7">
        <v>1</v>
      </c>
      <c r="J1021" s="9" t="s">
        <v>176</v>
      </c>
      <c r="K1021" s="9" t="s">
        <v>268</v>
      </c>
      <c r="L1021" s="7" t="s">
        <v>52</v>
      </c>
      <c r="M1021" s="7">
        <f t="shared" si="72"/>
        <v>1</v>
      </c>
      <c r="N1021" s="9" t="s">
        <v>177</v>
      </c>
      <c r="O1021" s="7">
        <v>0</v>
      </c>
      <c r="P1021" s="9" t="s">
        <v>63</v>
      </c>
      <c r="Q1021" s="9" t="s">
        <v>38</v>
      </c>
      <c r="R1021" s="9" t="s">
        <v>52</v>
      </c>
      <c r="S1021" s="13" t="s">
        <v>2017</v>
      </c>
      <c r="T1021" s="7">
        <v>12</v>
      </c>
      <c r="U1021" s="7">
        <v>12</v>
      </c>
      <c r="V1021" s="7">
        <v>330</v>
      </c>
      <c r="W1021" s="7" t="s">
        <v>79</v>
      </c>
      <c r="X1021" s="7"/>
      <c r="Y1021" s="7"/>
      <c r="Z1021" s="7"/>
      <c r="AA1021" s="7"/>
      <c r="AB1021" s="7">
        <f t="shared" si="76"/>
        <v>4</v>
      </c>
      <c r="AC1021" s="7">
        <f t="shared" si="73"/>
        <v>4</v>
      </c>
      <c r="AD1021" s="7"/>
      <c r="AE1021" s="7"/>
      <c r="AF1021" s="7"/>
      <c r="AG1021" s="7"/>
      <c r="AH1021" s="7"/>
      <c r="AI1021" s="7"/>
      <c r="AJ1021" s="7"/>
      <c r="AK1021" s="7"/>
      <c r="AL1021" s="9"/>
      <c r="AM1021" s="7" t="s">
        <v>215</v>
      </c>
      <c r="AN1021" s="7" t="s">
        <v>2850</v>
      </c>
      <c r="AO1021" s="12"/>
    </row>
    <row r="1022" spans="1:41" s="11" customFormat="1" ht="24" x14ac:dyDescent="0.25">
      <c r="A1022" s="2">
        <v>1021</v>
      </c>
      <c r="B1022" s="7" t="s">
        <v>856</v>
      </c>
      <c r="C1022" s="7" t="s">
        <v>78</v>
      </c>
      <c r="D1022" s="7">
        <v>40</v>
      </c>
      <c r="E1022" s="7">
        <v>40</v>
      </c>
      <c r="F1022" s="8">
        <v>1</v>
      </c>
      <c r="G1022" s="8">
        <v>1</v>
      </c>
      <c r="H1022" s="7">
        <v>1</v>
      </c>
      <c r="I1022" s="7">
        <v>1</v>
      </c>
      <c r="J1022" s="9" t="s">
        <v>176</v>
      </c>
      <c r="K1022" s="7">
        <v>5</v>
      </c>
      <c r="L1022" s="7" t="s">
        <v>52</v>
      </c>
      <c r="M1022" s="7">
        <f t="shared" si="72"/>
        <v>1</v>
      </c>
      <c r="N1022" s="9" t="s">
        <v>177</v>
      </c>
      <c r="O1022" s="7">
        <v>0</v>
      </c>
      <c r="P1022" s="9" t="s">
        <v>63</v>
      </c>
      <c r="Q1022" s="7" t="s">
        <v>38</v>
      </c>
      <c r="R1022" s="7" t="s">
        <v>52</v>
      </c>
      <c r="S1022" s="10" t="s">
        <v>2018</v>
      </c>
      <c r="T1022" s="7">
        <v>7</v>
      </c>
      <c r="U1022" s="7">
        <v>7</v>
      </c>
      <c r="V1022" s="7" t="s">
        <v>894</v>
      </c>
      <c r="W1022" s="7" t="s">
        <v>79</v>
      </c>
      <c r="X1022" s="7"/>
      <c r="Y1022" s="7"/>
      <c r="Z1022" s="7"/>
      <c r="AA1022" s="7"/>
      <c r="AB1022" s="7">
        <f t="shared" si="76"/>
        <v>2.3333333333333335</v>
      </c>
      <c r="AC1022" s="7">
        <f t="shared" si="73"/>
        <v>2.3333333333333335</v>
      </c>
      <c r="AD1022" s="7"/>
      <c r="AE1022" s="7"/>
      <c r="AF1022" s="7"/>
      <c r="AG1022" s="7"/>
      <c r="AH1022" s="7"/>
      <c r="AI1022" s="7"/>
      <c r="AJ1022" s="7"/>
      <c r="AK1022" s="7"/>
      <c r="AL1022" s="9"/>
      <c r="AM1022" s="7" t="s">
        <v>215</v>
      </c>
      <c r="AN1022" s="7" t="s">
        <v>2850</v>
      </c>
      <c r="AO1022" s="12"/>
    </row>
    <row r="1023" spans="1:41" s="11" customFormat="1" x14ac:dyDescent="0.25">
      <c r="A1023" s="2">
        <v>1022</v>
      </c>
      <c r="B1023" s="7" t="s">
        <v>856</v>
      </c>
      <c r="C1023" s="7" t="s">
        <v>50</v>
      </c>
      <c r="D1023" s="7">
        <v>28</v>
      </c>
      <c r="E1023" s="7">
        <v>28</v>
      </c>
      <c r="F1023" s="8">
        <v>1</v>
      </c>
      <c r="G1023" s="8">
        <v>1</v>
      </c>
      <c r="H1023" s="7">
        <v>1</v>
      </c>
      <c r="I1023" s="7">
        <v>1</v>
      </c>
      <c r="J1023" s="9" t="s">
        <v>176</v>
      </c>
      <c r="K1023" s="7">
        <v>5</v>
      </c>
      <c r="L1023" s="7" t="s">
        <v>52</v>
      </c>
      <c r="M1023" s="7">
        <f t="shared" si="72"/>
        <v>1</v>
      </c>
      <c r="N1023" s="9" t="s">
        <v>177</v>
      </c>
      <c r="O1023" s="7">
        <v>0</v>
      </c>
      <c r="P1023" s="9" t="s">
        <v>63</v>
      </c>
      <c r="Q1023" s="7" t="s">
        <v>38</v>
      </c>
      <c r="R1023" s="7" t="s">
        <v>52</v>
      </c>
      <c r="S1023" s="10" t="s">
        <v>2019</v>
      </c>
      <c r="T1023" s="7"/>
      <c r="U1023" s="7"/>
      <c r="V1023" s="7"/>
      <c r="W1023" s="7"/>
      <c r="X1023" s="7"/>
      <c r="Y1023" s="7">
        <v>15</v>
      </c>
      <c r="Z1023" s="7">
        <v>15</v>
      </c>
      <c r="AA1023" s="7">
        <v>140</v>
      </c>
      <c r="AB1023" s="7">
        <f t="shared" si="76"/>
        <v>5</v>
      </c>
      <c r="AC1023" s="7">
        <f t="shared" si="73"/>
        <v>5</v>
      </c>
      <c r="AD1023" s="7"/>
      <c r="AE1023" s="7"/>
      <c r="AF1023" s="7"/>
      <c r="AG1023" s="7"/>
      <c r="AH1023" s="7"/>
      <c r="AI1023" s="7"/>
      <c r="AJ1023" s="7"/>
      <c r="AK1023" s="7"/>
      <c r="AL1023" s="9"/>
      <c r="AM1023" s="7" t="s">
        <v>215</v>
      </c>
      <c r="AN1023" s="7" t="s">
        <v>2850</v>
      </c>
      <c r="AO1023" s="15" t="s">
        <v>2611</v>
      </c>
    </row>
    <row r="1024" spans="1:41" s="11" customFormat="1" x14ac:dyDescent="0.25">
      <c r="A1024" s="2">
        <v>1023</v>
      </c>
      <c r="B1024" s="7" t="s">
        <v>856</v>
      </c>
      <c r="C1024" s="7" t="s">
        <v>50</v>
      </c>
      <c r="D1024" s="7">
        <v>40</v>
      </c>
      <c r="E1024" s="7">
        <v>40</v>
      </c>
      <c r="F1024" s="8">
        <v>1</v>
      </c>
      <c r="G1024" s="8">
        <v>1</v>
      </c>
      <c r="H1024" s="7">
        <v>1</v>
      </c>
      <c r="I1024" s="7">
        <v>1</v>
      </c>
      <c r="J1024" s="9" t="s">
        <v>176</v>
      </c>
      <c r="K1024" s="9" t="s">
        <v>895</v>
      </c>
      <c r="L1024" s="7" t="s">
        <v>52</v>
      </c>
      <c r="M1024" s="7">
        <f t="shared" si="72"/>
        <v>1</v>
      </c>
      <c r="N1024" s="9" t="s">
        <v>109</v>
      </c>
      <c r="O1024" s="7">
        <v>0</v>
      </c>
      <c r="P1024" s="9" t="s">
        <v>63</v>
      </c>
      <c r="Q1024" s="9" t="s">
        <v>38</v>
      </c>
      <c r="R1024" s="9" t="s">
        <v>52</v>
      </c>
      <c r="S1024" s="13" t="s">
        <v>2020</v>
      </c>
      <c r="T1024" s="7"/>
      <c r="U1024" s="7"/>
      <c r="V1024" s="7"/>
      <c r="W1024" s="7"/>
      <c r="X1024" s="7"/>
      <c r="Y1024" s="7">
        <v>10</v>
      </c>
      <c r="Z1024" s="7">
        <v>10</v>
      </c>
      <c r="AA1024" s="7" t="s">
        <v>267</v>
      </c>
      <c r="AB1024" s="7">
        <f t="shared" si="76"/>
        <v>3.3333333333333335</v>
      </c>
      <c r="AC1024" s="7">
        <f t="shared" si="73"/>
        <v>3.3333333333333335</v>
      </c>
      <c r="AD1024" s="7"/>
      <c r="AE1024" s="7"/>
      <c r="AF1024" s="7"/>
      <c r="AG1024" s="7"/>
      <c r="AH1024" s="7"/>
      <c r="AI1024" s="7"/>
      <c r="AJ1024" s="10" t="s">
        <v>2382</v>
      </c>
      <c r="AK1024" s="7"/>
      <c r="AL1024" s="9"/>
      <c r="AM1024" s="7" t="s">
        <v>215</v>
      </c>
      <c r="AN1024" s="7" t="s">
        <v>2850</v>
      </c>
      <c r="AO1024" s="12"/>
    </row>
    <row r="1025" spans="1:41" s="11" customFormat="1" x14ac:dyDescent="0.25">
      <c r="A1025" s="2">
        <v>1024</v>
      </c>
      <c r="B1025" s="7" t="s">
        <v>856</v>
      </c>
      <c r="C1025" s="7" t="s">
        <v>577</v>
      </c>
      <c r="D1025" s="7">
        <v>78</v>
      </c>
      <c r="E1025" s="7">
        <v>78</v>
      </c>
      <c r="F1025" s="8">
        <v>7</v>
      </c>
      <c r="G1025" s="8">
        <v>7</v>
      </c>
      <c r="H1025" s="7" t="s">
        <v>122</v>
      </c>
      <c r="I1025" s="7">
        <v>7</v>
      </c>
      <c r="J1025" s="9" t="s">
        <v>639</v>
      </c>
      <c r="K1025" s="7"/>
      <c r="L1025" s="7" t="s">
        <v>38</v>
      </c>
      <c r="M1025" s="7">
        <f t="shared" si="72"/>
        <v>0</v>
      </c>
      <c r="N1025" s="9"/>
      <c r="O1025" s="7"/>
      <c r="P1025" s="9"/>
      <c r="Q1025" s="7"/>
      <c r="R1025" s="7"/>
      <c r="S1025" s="7"/>
      <c r="T1025" s="7"/>
      <c r="U1025" s="7"/>
      <c r="V1025" s="7"/>
      <c r="W1025" s="7"/>
      <c r="X1025" s="7"/>
      <c r="Y1025" s="7"/>
      <c r="Z1025" s="7"/>
      <c r="AA1025" s="7"/>
      <c r="AB1025" s="7">
        <v>0.33333333333333298</v>
      </c>
      <c r="AC1025" s="7">
        <f t="shared" si="73"/>
        <v>0</v>
      </c>
      <c r="AD1025" s="7"/>
      <c r="AE1025" s="7"/>
      <c r="AF1025" s="7"/>
      <c r="AG1025" s="7"/>
      <c r="AH1025" s="7"/>
      <c r="AI1025" s="7"/>
      <c r="AJ1025" s="7"/>
      <c r="AK1025" s="7"/>
      <c r="AL1025" s="9"/>
      <c r="AM1025" s="7"/>
      <c r="AN1025" s="7"/>
      <c r="AO1025" s="15" t="s">
        <v>2612</v>
      </c>
    </row>
    <row r="1026" spans="1:41" s="11" customFormat="1" ht="24" x14ac:dyDescent="0.25">
      <c r="A1026" s="2">
        <v>1025</v>
      </c>
      <c r="B1026" s="7" t="s">
        <v>856</v>
      </c>
      <c r="C1026" s="7" t="s">
        <v>78</v>
      </c>
      <c r="D1026" s="7">
        <v>30</v>
      </c>
      <c r="E1026" s="7">
        <v>30</v>
      </c>
      <c r="F1026" s="8">
        <v>1</v>
      </c>
      <c r="G1026" s="8">
        <v>1</v>
      </c>
      <c r="H1026" s="7">
        <v>1</v>
      </c>
      <c r="I1026" s="7">
        <v>1</v>
      </c>
      <c r="J1026" s="9" t="s">
        <v>176</v>
      </c>
      <c r="K1026" s="7"/>
      <c r="L1026" s="7" t="s">
        <v>52</v>
      </c>
      <c r="M1026" s="7">
        <f t="shared" ref="M1026:M1089" si="77">IF(L1026="n",F1026,0)</f>
        <v>1</v>
      </c>
      <c r="N1026" s="9"/>
      <c r="O1026" s="7"/>
      <c r="P1026" s="9"/>
      <c r="Q1026" s="7" t="s">
        <v>52</v>
      </c>
      <c r="R1026" s="7" t="s">
        <v>52</v>
      </c>
      <c r="S1026" s="10" t="s">
        <v>2021</v>
      </c>
      <c r="T1026" s="7">
        <v>5</v>
      </c>
      <c r="U1026" s="7">
        <v>5</v>
      </c>
      <c r="V1026" s="7" t="s">
        <v>403</v>
      </c>
      <c r="W1026" s="7" t="s">
        <v>328</v>
      </c>
      <c r="X1026" s="7"/>
      <c r="Y1026" s="7"/>
      <c r="Z1026" s="7"/>
      <c r="AA1026" s="7"/>
      <c r="AB1026" s="7">
        <f t="shared" ref="AB1026:AB1032" si="78">(U1026+X1026+Z1026)/3</f>
        <v>1.6666666666666667</v>
      </c>
      <c r="AC1026" s="7">
        <f t="shared" ref="AC1026:AC1089" si="79">IF(L1026="n",AB1026,0)</f>
        <v>1.6666666666666667</v>
      </c>
      <c r="AD1026" s="7"/>
      <c r="AE1026" s="7"/>
      <c r="AF1026" s="7"/>
      <c r="AG1026" s="7"/>
      <c r="AH1026" s="7"/>
      <c r="AI1026" s="7"/>
      <c r="AJ1026" s="7"/>
      <c r="AK1026" s="7"/>
      <c r="AL1026" s="9"/>
      <c r="AM1026" s="7" t="s">
        <v>71</v>
      </c>
      <c r="AN1026" s="7" t="s">
        <v>71</v>
      </c>
      <c r="AO1026" s="12"/>
    </row>
    <row r="1027" spans="1:41" s="11" customFormat="1" x14ac:dyDescent="0.25">
      <c r="A1027" s="2">
        <v>1026</v>
      </c>
      <c r="B1027" s="7" t="s">
        <v>856</v>
      </c>
      <c r="C1027" s="7" t="s">
        <v>89</v>
      </c>
      <c r="D1027" s="7" t="s">
        <v>896</v>
      </c>
      <c r="E1027" s="7">
        <v>17</v>
      </c>
      <c r="F1027" s="8">
        <v>1</v>
      </c>
      <c r="G1027" s="8">
        <v>3</v>
      </c>
      <c r="H1027" s="7">
        <v>3</v>
      </c>
      <c r="I1027" s="7">
        <v>3</v>
      </c>
      <c r="J1027" s="9" t="s">
        <v>70</v>
      </c>
      <c r="K1027" s="7">
        <v>2</v>
      </c>
      <c r="L1027" s="7" t="s">
        <v>52</v>
      </c>
      <c r="M1027" s="7">
        <f t="shared" si="77"/>
        <v>1</v>
      </c>
      <c r="N1027" s="9"/>
      <c r="O1027" s="7"/>
      <c r="P1027" s="9"/>
      <c r="Q1027" s="7"/>
      <c r="R1027" s="7"/>
      <c r="S1027" s="7"/>
      <c r="T1027" s="7"/>
      <c r="U1027" s="7"/>
      <c r="V1027" s="7"/>
      <c r="W1027" s="7"/>
      <c r="X1027" s="7">
        <v>3</v>
      </c>
      <c r="Y1027" s="7"/>
      <c r="Z1027" s="7"/>
      <c r="AA1027" s="7"/>
      <c r="AB1027" s="7">
        <f t="shared" si="78"/>
        <v>1</v>
      </c>
      <c r="AC1027" s="7">
        <f t="shared" si="79"/>
        <v>1</v>
      </c>
      <c r="AD1027" s="7"/>
      <c r="AE1027" s="7"/>
      <c r="AF1027" s="7"/>
      <c r="AG1027" s="7"/>
      <c r="AH1027" s="7"/>
      <c r="AI1027" s="7"/>
      <c r="AJ1027" s="7"/>
      <c r="AK1027" s="10" t="s">
        <v>2466</v>
      </c>
      <c r="AL1027" s="9"/>
      <c r="AM1027" s="7" t="s">
        <v>71</v>
      </c>
      <c r="AN1027" s="7" t="s">
        <v>71</v>
      </c>
      <c r="AO1027" s="12"/>
    </row>
    <row r="1028" spans="1:41" s="11" customFormat="1" x14ac:dyDescent="0.25">
      <c r="A1028" s="2">
        <v>1027</v>
      </c>
      <c r="B1028" s="7" t="s">
        <v>856</v>
      </c>
      <c r="C1028" s="7" t="s">
        <v>100</v>
      </c>
      <c r="D1028" s="7">
        <v>28</v>
      </c>
      <c r="E1028" s="7">
        <v>28</v>
      </c>
      <c r="F1028" s="8">
        <v>1</v>
      </c>
      <c r="G1028" s="8">
        <v>1</v>
      </c>
      <c r="H1028" s="7">
        <v>1</v>
      </c>
      <c r="I1028" s="7">
        <v>1</v>
      </c>
      <c r="J1028" s="9" t="s">
        <v>35</v>
      </c>
      <c r="K1028" s="7">
        <v>2</v>
      </c>
      <c r="L1028" s="7" t="s">
        <v>52</v>
      </c>
      <c r="M1028" s="7">
        <f t="shared" si="77"/>
        <v>1</v>
      </c>
      <c r="N1028" s="9" t="s">
        <v>34</v>
      </c>
      <c r="O1028" s="7">
        <v>0</v>
      </c>
      <c r="P1028" s="9" t="s">
        <v>33</v>
      </c>
      <c r="Q1028" s="7" t="s">
        <v>38</v>
      </c>
      <c r="R1028" s="7" t="s">
        <v>38</v>
      </c>
      <c r="S1028" s="7"/>
      <c r="T1028" s="7"/>
      <c r="U1028" s="7"/>
      <c r="V1028" s="7"/>
      <c r="W1028" s="7"/>
      <c r="X1028" s="7">
        <v>3</v>
      </c>
      <c r="Y1028" s="7"/>
      <c r="Z1028" s="7"/>
      <c r="AA1028" s="7"/>
      <c r="AB1028" s="7">
        <f t="shared" si="78"/>
        <v>1</v>
      </c>
      <c r="AC1028" s="7">
        <f t="shared" si="79"/>
        <v>1</v>
      </c>
      <c r="AD1028" s="7"/>
      <c r="AE1028" s="7"/>
      <c r="AF1028" s="7"/>
      <c r="AG1028" s="7"/>
      <c r="AH1028" s="7"/>
      <c r="AI1028" s="7"/>
      <c r="AJ1028" s="7"/>
      <c r="AK1028" s="7"/>
      <c r="AL1028" s="9"/>
      <c r="AM1028" s="7" t="s">
        <v>42</v>
      </c>
      <c r="AN1028" s="7" t="s">
        <v>42</v>
      </c>
      <c r="AO1028" s="12"/>
    </row>
    <row r="1029" spans="1:41" s="11" customFormat="1" x14ac:dyDescent="0.25">
      <c r="A1029" s="2">
        <v>1028</v>
      </c>
      <c r="B1029" s="7" t="s">
        <v>856</v>
      </c>
      <c r="C1029" s="7" t="s">
        <v>78</v>
      </c>
      <c r="D1029" s="7">
        <v>2</v>
      </c>
      <c r="E1029" s="7">
        <v>2</v>
      </c>
      <c r="F1029" s="8">
        <v>1</v>
      </c>
      <c r="G1029" s="8">
        <v>1</v>
      </c>
      <c r="H1029" s="7">
        <v>1</v>
      </c>
      <c r="I1029" s="7">
        <v>1</v>
      </c>
      <c r="J1029" s="9" t="s">
        <v>70</v>
      </c>
      <c r="K1029" s="7">
        <v>1</v>
      </c>
      <c r="L1029" s="7" t="s">
        <v>52</v>
      </c>
      <c r="M1029" s="7">
        <f t="shared" si="77"/>
        <v>1</v>
      </c>
      <c r="N1029" s="9" t="s">
        <v>36</v>
      </c>
      <c r="O1029" s="7">
        <v>0</v>
      </c>
      <c r="P1029" s="9" t="s">
        <v>63</v>
      </c>
      <c r="Q1029" s="7" t="s">
        <v>38</v>
      </c>
      <c r="R1029" s="7" t="s">
        <v>38</v>
      </c>
      <c r="S1029" s="7"/>
      <c r="T1029" s="7">
        <v>5</v>
      </c>
      <c r="U1029" s="7">
        <v>5</v>
      </c>
      <c r="V1029" s="7" t="s">
        <v>253</v>
      </c>
      <c r="W1029" s="7" t="s">
        <v>834</v>
      </c>
      <c r="X1029" s="7"/>
      <c r="Y1029" s="7"/>
      <c r="Z1029" s="7"/>
      <c r="AA1029" s="7"/>
      <c r="AB1029" s="7">
        <f t="shared" si="78"/>
        <v>1.6666666666666667</v>
      </c>
      <c r="AC1029" s="7">
        <f t="shared" si="79"/>
        <v>1.6666666666666667</v>
      </c>
      <c r="AD1029" s="7"/>
      <c r="AE1029" s="7"/>
      <c r="AF1029" s="7"/>
      <c r="AG1029" s="7"/>
      <c r="AH1029" s="7"/>
      <c r="AI1029" s="7"/>
      <c r="AJ1029" s="7"/>
      <c r="AK1029" s="7"/>
      <c r="AL1029" s="9"/>
      <c r="AM1029" s="7" t="s">
        <v>71</v>
      </c>
      <c r="AN1029" s="7" t="s">
        <v>71</v>
      </c>
      <c r="AO1029" s="12"/>
    </row>
    <row r="1030" spans="1:41" s="11" customFormat="1" x14ac:dyDescent="0.25">
      <c r="A1030" s="2">
        <v>1029</v>
      </c>
      <c r="B1030" s="7" t="s">
        <v>856</v>
      </c>
      <c r="C1030" s="7" t="s">
        <v>50</v>
      </c>
      <c r="D1030" s="7">
        <v>15</v>
      </c>
      <c r="E1030" s="7">
        <v>15</v>
      </c>
      <c r="F1030" s="8">
        <v>1</v>
      </c>
      <c r="G1030" s="8">
        <v>1</v>
      </c>
      <c r="H1030" s="7">
        <v>1</v>
      </c>
      <c r="I1030" s="7">
        <v>1</v>
      </c>
      <c r="J1030" s="9" t="s">
        <v>35</v>
      </c>
      <c r="K1030" s="7">
        <v>2</v>
      </c>
      <c r="L1030" s="7" t="s">
        <v>52</v>
      </c>
      <c r="M1030" s="7">
        <f t="shared" si="77"/>
        <v>1</v>
      </c>
      <c r="N1030" s="9" t="s">
        <v>36</v>
      </c>
      <c r="O1030" s="7">
        <v>0</v>
      </c>
      <c r="P1030" s="9" t="s">
        <v>37</v>
      </c>
      <c r="Q1030" s="7" t="s">
        <v>38</v>
      </c>
      <c r="R1030" s="7"/>
      <c r="S1030" s="10" t="s">
        <v>1492</v>
      </c>
      <c r="T1030" s="7"/>
      <c r="U1030" s="7"/>
      <c r="V1030" s="7"/>
      <c r="W1030" s="7"/>
      <c r="X1030" s="7"/>
      <c r="Y1030" s="7" t="s">
        <v>92</v>
      </c>
      <c r="Z1030" s="7">
        <v>3</v>
      </c>
      <c r="AA1030" s="7" t="s">
        <v>76</v>
      </c>
      <c r="AB1030" s="7">
        <f t="shared" si="78"/>
        <v>1</v>
      </c>
      <c r="AC1030" s="7">
        <f t="shared" si="79"/>
        <v>1</v>
      </c>
      <c r="AD1030" s="7"/>
      <c r="AE1030" s="7"/>
      <c r="AF1030" s="7"/>
      <c r="AG1030" s="7"/>
      <c r="AH1030" s="7"/>
      <c r="AI1030" s="7"/>
      <c r="AJ1030" s="7"/>
      <c r="AK1030" s="7"/>
      <c r="AL1030" s="9"/>
      <c r="AM1030" s="7" t="s">
        <v>71</v>
      </c>
      <c r="AN1030" s="7" t="s">
        <v>71</v>
      </c>
      <c r="AO1030" s="12"/>
    </row>
    <row r="1031" spans="1:41" s="11" customFormat="1" x14ac:dyDescent="0.25">
      <c r="A1031" s="2">
        <v>1030</v>
      </c>
      <c r="B1031" s="7" t="s">
        <v>856</v>
      </c>
      <c r="C1031" s="7" t="s">
        <v>100</v>
      </c>
      <c r="D1031" s="7">
        <v>7</v>
      </c>
      <c r="E1031" s="7">
        <v>7</v>
      </c>
      <c r="F1031" s="8">
        <v>1</v>
      </c>
      <c r="G1031" s="8">
        <v>1</v>
      </c>
      <c r="H1031" s="7">
        <v>1</v>
      </c>
      <c r="I1031" s="7">
        <v>1</v>
      </c>
      <c r="J1031" s="9" t="s">
        <v>35</v>
      </c>
      <c r="K1031" s="7">
        <v>2</v>
      </c>
      <c r="L1031" s="7" t="s">
        <v>52</v>
      </c>
      <c r="M1031" s="7">
        <f t="shared" si="77"/>
        <v>1</v>
      </c>
      <c r="N1031" s="9"/>
      <c r="O1031" s="7"/>
      <c r="P1031" s="9"/>
      <c r="Q1031" s="7" t="s">
        <v>52</v>
      </c>
      <c r="R1031" s="7" t="s">
        <v>38</v>
      </c>
      <c r="S1031" s="7"/>
      <c r="T1031" s="7"/>
      <c r="U1031" s="7"/>
      <c r="V1031" s="7"/>
      <c r="W1031" s="7"/>
      <c r="X1031" s="7">
        <v>3</v>
      </c>
      <c r="Y1031" s="7"/>
      <c r="Z1031" s="7"/>
      <c r="AA1031" s="7"/>
      <c r="AB1031" s="7">
        <f t="shared" si="78"/>
        <v>1</v>
      </c>
      <c r="AC1031" s="7">
        <f t="shared" si="79"/>
        <v>1</v>
      </c>
      <c r="AD1031" s="7"/>
      <c r="AE1031" s="7"/>
      <c r="AF1031" s="7"/>
      <c r="AG1031" s="7"/>
      <c r="AH1031" s="7"/>
      <c r="AI1031" s="7"/>
      <c r="AJ1031" s="10" t="s">
        <v>2383</v>
      </c>
      <c r="AK1031" s="7"/>
      <c r="AL1031" s="9"/>
      <c r="AM1031" s="7" t="s">
        <v>71</v>
      </c>
      <c r="AN1031" s="7" t="s">
        <v>71</v>
      </c>
      <c r="AO1031" s="7"/>
    </row>
    <row r="1032" spans="1:41" s="11" customFormat="1" x14ac:dyDescent="0.25">
      <c r="A1032" s="2">
        <v>1031</v>
      </c>
      <c r="B1032" s="7" t="s">
        <v>856</v>
      </c>
      <c r="C1032" s="7" t="s">
        <v>89</v>
      </c>
      <c r="D1032" s="7" t="s">
        <v>897</v>
      </c>
      <c r="E1032" s="7">
        <f>144+68</f>
        <v>212</v>
      </c>
      <c r="F1032" s="8">
        <v>1</v>
      </c>
      <c r="G1032" s="8">
        <v>3</v>
      </c>
      <c r="H1032" s="7">
        <v>3</v>
      </c>
      <c r="I1032" s="7">
        <v>3</v>
      </c>
      <c r="J1032" s="9" t="s">
        <v>353</v>
      </c>
      <c r="K1032" s="7"/>
      <c r="L1032" s="7" t="s">
        <v>38</v>
      </c>
      <c r="M1032" s="7">
        <f t="shared" si="77"/>
        <v>0</v>
      </c>
      <c r="N1032" s="9" t="s">
        <v>82</v>
      </c>
      <c r="O1032" s="7">
        <v>0</v>
      </c>
      <c r="P1032" s="9" t="s">
        <v>36</v>
      </c>
      <c r="Q1032" s="7" t="s">
        <v>38</v>
      </c>
      <c r="R1032" s="7" t="s">
        <v>38</v>
      </c>
      <c r="S1032" s="10" t="s">
        <v>2009</v>
      </c>
      <c r="T1032" s="7"/>
      <c r="U1032" s="7"/>
      <c r="V1032" s="7"/>
      <c r="W1032" s="7"/>
      <c r="X1032" s="7">
        <v>3</v>
      </c>
      <c r="Y1032" s="7"/>
      <c r="Z1032" s="7"/>
      <c r="AA1032" s="7"/>
      <c r="AB1032" s="7">
        <f t="shared" si="78"/>
        <v>1</v>
      </c>
      <c r="AC1032" s="7">
        <f t="shared" si="79"/>
        <v>0</v>
      </c>
      <c r="AD1032" s="7"/>
      <c r="AE1032" s="7"/>
      <c r="AF1032" s="7"/>
      <c r="AG1032" s="7"/>
      <c r="AH1032" s="7"/>
      <c r="AI1032" s="7"/>
      <c r="AJ1032" s="7"/>
      <c r="AK1032" s="7"/>
      <c r="AL1032" s="9"/>
      <c r="AM1032" s="7" t="s">
        <v>71</v>
      </c>
      <c r="AN1032" s="7" t="s">
        <v>71</v>
      </c>
      <c r="AO1032" s="15" t="s">
        <v>2613</v>
      </c>
    </row>
    <row r="1033" spans="1:41" s="11" customFormat="1" x14ac:dyDescent="0.25">
      <c r="A1033" s="2">
        <v>1032</v>
      </c>
      <c r="B1033" s="7" t="s">
        <v>856</v>
      </c>
      <c r="C1033" s="7" t="s">
        <v>898</v>
      </c>
      <c r="D1033" s="7">
        <v>19</v>
      </c>
      <c r="E1033" s="7">
        <v>19</v>
      </c>
      <c r="F1033" s="8">
        <v>1</v>
      </c>
      <c r="G1033" s="8">
        <v>1</v>
      </c>
      <c r="H1033" s="7">
        <v>1</v>
      </c>
      <c r="I1033" s="7">
        <v>1</v>
      </c>
      <c r="J1033" s="9" t="s">
        <v>353</v>
      </c>
      <c r="K1033" s="7"/>
      <c r="L1033" s="7" t="s">
        <v>38</v>
      </c>
      <c r="M1033" s="7">
        <f t="shared" si="77"/>
        <v>0</v>
      </c>
      <c r="N1033" s="9" t="s">
        <v>82</v>
      </c>
      <c r="O1033" s="7">
        <v>0</v>
      </c>
      <c r="P1033" s="9" t="s">
        <v>36</v>
      </c>
      <c r="Q1033" s="7"/>
      <c r="R1033" s="7" t="s">
        <v>38</v>
      </c>
      <c r="S1033" s="10" t="s">
        <v>2022</v>
      </c>
      <c r="T1033" s="7"/>
      <c r="U1033" s="7"/>
      <c r="V1033" s="7"/>
      <c r="W1033" s="7"/>
      <c r="X1033" s="7"/>
      <c r="Y1033" s="7"/>
      <c r="Z1033" s="7"/>
      <c r="AA1033" s="7"/>
      <c r="AB1033" s="7">
        <v>0.33333333333333298</v>
      </c>
      <c r="AC1033" s="7">
        <f t="shared" si="79"/>
        <v>0</v>
      </c>
      <c r="AD1033" s="7">
        <v>1</v>
      </c>
      <c r="AE1033" s="7"/>
      <c r="AF1033" s="7" t="s">
        <v>155</v>
      </c>
      <c r="AG1033" s="7" t="s">
        <v>899</v>
      </c>
      <c r="AH1033" s="7"/>
      <c r="AI1033" s="7"/>
      <c r="AJ1033" s="7"/>
      <c r="AK1033" s="7"/>
      <c r="AL1033" s="9"/>
      <c r="AM1033" s="7" t="s">
        <v>71</v>
      </c>
      <c r="AN1033" s="7" t="s">
        <v>71</v>
      </c>
      <c r="AO1033" s="12"/>
    </row>
    <row r="1034" spans="1:41" s="11" customFormat="1" x14ac:dyDescent="0.25">
      <c r="A1034" s="2">
        <v>1033</v>
      </c>
      <c r="B1034" s="7" t="s">
        <v>856</v>
      </c>
      <c r="C1034" s="7" t="s">
        <v>100</v>
      </c>
      <c r="D1034" s="7">
        <v>4</v>
      </c>
      <c r="E1034" s="7">
        <v>4</v>
      </c>
      <c r="F1034" s="8">
        <v>1</v>
      </c>
      <c r="G1034" s="8">
        <v>1</v>
      </c>
      <c r="H1034" s="7">
        <v>1</v>
      </c>
      <c r="I1034" s="7">
        <v>1</v>
      </c>
      <c r="J1034" s="9" t="s">
        <v>353</v>
      </c>
      <c r="K1034" s="7"/>
      <c r="L1034" s="7" t="s">
        <v>38</v>
      </c>
      <c r="M1034" s="7">
        <f t="shared" si="77"/>
        <v>0</v>
      </c>
      <c r="N1034" s="9"/>
      <c r="O1034" s="7"/>
      <c r="P1034" s="9"/>
      <c r="Q1034" s="7"/>
      <c r="R1034" s="7"/>
      <c r="S1034" s="7"/>
      <c r="T1034" s="7"/>
      <c r="U1034" s="7"/>
      <c r="V1034" s="7"/>
      <c r="W1034" s="7"/>
      <c r="X1034" s="7">
        <v>3</v>
      </c>
      <c r="Y1034" s="7"/>
      <c r="Z1034" s="7"/>
      <c r="AA1034" s="7"/>
      <c r="AB1034" s="7">
        <f t="shared" ref="AB1034:AB1040" si="80">(U1034+X1034+Z1034)/3</f>
        <v>1</v>
      </c>
      <c r="AC1034" s="7">
        <f t="shared" si="79"/>
        <v>0</v>
      </c>
      <c r="AD1034" s="7"/>
      <c r="AE1034" s="7"/>
      <c r="AF1034" s="7"/>
      <c r="AG1034" s="7"/>
      <c r="AH1034" s="7"/>
      <c r="AI1034" s="7"/>
      <c r="AJ1034" s="7"/>
      <c r="AK1034" s="7"/>
      <c r="AL1034" s="9"/>
      <c r="AM1034" s="7" t="s">
        <v>71</v>
      </c>
      <c r="AN1034" s="7" t="s">
        <v>71</v>
      </c>
      <c r="AO1034" s="12"/>
    </row>
    <row r="1035" spans="1:41" s="11" customFormat="1" ht="24" x14ac:dyDescent="0.25">
      <c r="A1035" s="2">
        <v>1034</v>
      </c>
      <c r="B1035" s="7" t="s">
        <v>856</v>
      </c>
      <c r="C1035" s="7" t="s">
        <v>50</v>
      </c>
      <c r="D1035" s="7">
        <v>22</v>
      </c>
      <c r="E1035" s="7">
        <v>22</v>
      </c>
      <c r="F1035" s="8">
        <v>1</v>
      </c>
      <c r="G1035" s="8">
        <v>1</v>
      </c>
      <c r="H1035" s="7">
        <v>1</v>
      </c>
      <c r="I1035" s="7">
        <v>1</v>
      </c>
      <c r="J1035" s="9" t="s">
        <v>35</v>
      </c>
      <c r="K1035" s="7">
        <v>2</v>
      </c>
      <c r="L1035" s="7" t="s">
        <v>52</v>
      </c>
      <c r="M1035" s="7">
        <f t="shared" si="77"/>
        <v>1</v>
      </c>
      <c r="N1035" s="9" t="s">
        <v>34</v>
      </c>
      <c r="O1035" s="7">
        <v>0</v>
      </c>
      <c r="P1035" s="9" t="s">
        <v>33</v>
      </c>
      <c r="Q1035" s="7" t="s">
        <v>52</v>
      </c>
      <c r="R1035" s="7" t="s">
        <v>38</v>
      </c>
      <c r="S1035" s="10" t="s">
        <v>2023</v>
      </c>
      <c r="T1035" s="7"/>
      <c r="U1035" s="7"/>
      <c r="V1035" s="7"/>
      <c r="W1035" s="7"/>
      <c r="X1035" s="7"/>
      <c r="Y1035" s="7">
        <v>12</v>
      </c>
      <c r="Z1035" s="7">
        <v>12</v>
      </c>
      <c r="AA1035" s="7">
        <v>130</v>
      </c>
      <c r="AB1035" s="7">
        <f t="shared" si="80"/>
        <v>4</v>
      </c>
      <c r="AC1035" s="7">
        <f t="shared" si="79"/>
        <v>4</v>
      </c>
      <c r="AD1035" s="7"/>
      <c r="AE1035" s="7"/>
      <c r="AF1035" s="7"/>
      <c r="AG1035" s="7"/>
      <c r="AH1035" s="7"/>
      <c r="AI1035" s="7"/>
      <c r="AJ1035" s="10" t="s">
        <v>2384</v>
      </c>
      <c r="AK1035" s="7"/>
      <c r="AL1035" s="9"/>
      <c r="AM1035" s="7" t="s">
        <v>900</v>
      </c>
      <c r="AN1035" s="7" t="s">
        <v>2847</v>
      </c>
      <c r="AO1035" s="15" t="s">
        <v>2614</v>
      </c>
    </row>
    <row r="1036" spans="1:41" s="11" customFormat="1" x14ac:dyDescent="0.25">
      <c r="A1036" s="2">
        <v>1035</v>
      </c>
      <c r="B1036" s="7" t="s">
        <v>856</v>
      </c>
      <c r="C1036" s="7" t="s">
        <v>100</v>
      </c>
      <c r="D1036" s="7">
        <v>75</v>
      </c>
      <c r="E1036" s="7">
        <v>75</v>
      </c>
      <c r="F1036" s="8">
        <v>1</v>
      </c>
      <c r="G1036" s="8">
        <v>1</v>
      </c>
      <c r="H1036" s="7">
        <v>1</v>
      </c>
      <c r="I1036" s="7">
        <v>1</v>
      </c>
      <c r="J1036" s="9" t="s">
        <v>219</v>
      </c>
      <c r="K1036" s="7">
        <v>13</v>
      </c>
      <c r="L1036" s="7" t="s">
        <v>52</v>
      </c>
      <c r="M1036" s="7">
        <f t="shared" si="77"/>
        <v>1</v>
      </c>
      <c r="N1036" s="9"/>
      <c r="O1036" s="7"/>
      <c r="P1036" s="9"/>
      <c r="Q1036" s="7"/>
      <c r="R1036" s="7"/>
      <c r="S1036" s="7"/>
      <c r="T1036" s="7"/>
      <c r="U1036" s="7"/>
      <c r="V1036" s="7"/>
      <c r="W1036" s="7"/>
      <c r="X1036" s="7">
        <v>3</v>
      </c>
      <c r="Y1036" s="7"/>
      <c r="Z1036" s="7"/>
      <c r="AA1036" s="7"/>
      <c r="AB1036" s="7">
        <f t="shared" si="80"/>
        <v>1</v>
      </c>
      <c r="AC1036" s="7">
        <f t="shared" si="79"/>
        <v>1</v>
      </c>
      <c r="AD1036" s="7"/>
      <c r="AE1036" s="7"/>
      <c r="AF1036" s="7"/>
      <c r="AG1036" s="7"/>
      <c r="AH1036" s="7"/>
      <c r="AI1036" s="7"/>
      <c r="AJ1036" s="7"/>
      <c r="AK1036" s="7"/>
      <c r="AL1036" s="9"/>
      <c r="AM1036" s="7" t="s">
        <v>71</v>
      </c>
      <c r="AN1036" s="7" t="s">
        <v>71</v>
      </c>
      <c r="AO1036" s="12"/>
    </row>
    <row r="1037" spans="1:41" s="11" customFormat="1" x14ac:dyDescent="0.25">
      <c r="A1037" s="2">
        <v>1036</v>
      </c>
      <c r="B1037" s="7" t="s">
        <v>856</v>
      </c>
      <c r="C1037" s="7" t="s">
        <v>89</v>
      </c>
      <c r="D1037" s="7">
        <v>119</v>
      </c>
      <c r="E1037" s="7">
        <v>119</v>
      </c>
      <c r="F1037" s="8">
        <v>1</v>
      </c>
      <c r="G1037" s="8">
        <v>1</v>
      </c>
      <c r="H1037" s="7">
        <v>1</v>
      </c>
      <c r="I1037" s="7">
        <v>1</v>
      </c>
      <c r="J1037" s="9" t="s">
        <v>219</v>
      </c>
      <c r="K1037" s="7">
        <v>1</v>
      </c>
      <c r="L1037" s="7" t="s">
        <v>52</v>
      </c>
      <c r="M1037" s="7">
        <f t="shared" si="77"/>
        <v>1</v>
      </c>
      <c r="N1037" s="9"/>
      <c r="O1037" s="7"/>
      <c r="P1037" s="9"/>
      <c r="Q1037" s="7"/>
      <c r="R1037" s="7"/>
      <c r="S1037" s="7"/>
      <c r="T1037" s="7"/>
      <c r="U1037" s="7"/>
      <c r="V1037" s="7"/>
      <c r="W1037" s="7"/>
      <c r="X1037" s="7">
        <v>3</v>
      </c>
      <c r="Y1037" s="7"/>
      <c r="Z1037" s="7"/>
      <c r="AA1037" s="7"/>
      <c r="AB1037" s="7">
        <f t="shared" si="80"/>
        <v>1</v>
      </c>
      <c r="AC1037" s="7">
        <f t="shared" si="79"/>
        <v>1</v>
      </c>
      <c r="AD1037" s="7"/>
      <c r="AE1037" s="7"/>
      <c r="AF1037" s="7"/>
      <c r="AG1037" s="7"/>
      <c r="AH1037" s="7"/>
      <c r="AI1037" s="7"/>
      <c r="AJ1037" s="7"/>
      <c r="AK1037" s="7"/>
      <c r="AL1037" s="9"/>
      <c r="AM1037" s="7" t="s">
        <v>71</v>
      </c>
      <c r="AN1037" s="7" t="s">
        <v>71</v>
      </c>
      <c r="AO1037" s="12"/>
    </row>
    <row r="1038" spans="1:41" s="11" customFormat="1" x14ac:dyDescent="0.25">
      <c r="A1038" s="2">
        <v>1037</v>
      </c>
      <c r="B1038" s="7" t="s">
        <v>856</v>
      </c>
      <c r="C1038" s="7" t="s">
        <v>89</v>
      </c>
      <c r="D1038" s="7" t="s">
        <v>901</v>
      </c>
      <c r="E1038" s="7">
        <v>40</v>
      </c>
      <c r="F1038" s="8">
        <v>1</v>
      </c>
      <c r="G1038" s="8">
        <v>2</v>
      </c>
      <c r="H1038" s="7" t="s">
        <v>87</v>
      </c>
      <c r="I1038" s="7">
        <v>2</v>
      </c>
      <c r="J1038" s="9" t="s">
        <v>219</v>
      </c>
      <c r="K1038" s="7">
        <v>2</v>
      </c>
      <c r="L1038" s="7" t="s">
        <v>52</v>
      </c>
      <c r="M1038" s="7">
        <f t="shared" si="77"/>
        <v>1</v>
      </c>
      <c r="N1038" s="9"/>
      <c r="O1038" s="7"/>
      <c r="P1038" s="9"/>
      <c r="Q1038" s="7"/>
      <c r="R1038" s="7"/>
      <c r="S1038" s="7"/>
      <c r="T1038" s="7"/>
      <c r="U1038" s="7"/>
      <c r="V1038" s="7"/>
      <c r="W1038" s="7"/>
      <c r="X1038" s="7">
        <v>3</v>
      </c>
      <c r="Y1038" s="7"/>
      <c r="Z1038" s="7"/>
      <c r="AA1038" s="7"/>
      <c r="AB1038" s="7">
        <f t="shared" si="80"/>
        <v>1</v>
      </c>
      <c r="AC1038" s="7">
        <f t="shared" si="79"/>
        <v>1</v>
      </c>
      <c r="AD1038" s="7"/>
      <c r="AE1038" s="7"/>
      <c r="AF1038" s="7"/>
      <c r="AG1038" s="7"/>
      <c r="AH1038" s="7"/>
      <c r="AI1038" s="7"/>
      <c r="AJ1038" s="7"/>
      <c r="AK1038" s="7"/>
      <c r="AL1038" s="9"/>
      <c r="AM1038" s="7" t="s">
        <v>71</v>
      </c>
      <c r="AN1038" s="7" t="s">
        <v>71</v>
      </c>
      <c r="AO1038" s="12"/>
    </row>
    <row r="1039" spans="1:41" s="11" customFormat="1" ht="36" x14ac:dyDescent="0.25">
      <c r="A1039" s="2">
        <v>1038</v>
      </c>
      <c r="B1039" s="7" t="s">
        <v>856</v>
      </c>
      <c r="C1039" s="7" t="s">
        <v>421</v>
      </c>
      <c r="D1039" s="7" t="s">
        <v>902</v>
      </c>
      <c r="E1039" s="7">
        <f>67+36+54+40</f>
        <v>197</v>
      </c>
      <c r="F1039" s="8">
        <v>1</v>
      </c>
      <c r="G1039" s="9" t="s">
        <v>203</v>
      </c>
      <c r="H1039" s="7">
        <v>6</v>
      </c>
      <c r="I1039" s="7">
        <v>6</v>
      </c>
      <c r="J1039" s="9" t="s">
        <v>176</v>
      </c>
      <c r="K1039" s="9" t="s">
        <v>278</v>
      </c>
      <c r="L1039" s="7" t="s">
        <v>52</v>
      </c>
      <c r="M1039" s="7">
        <f t="shared" si="77"/>
        <v>1</v>
      </c>
      <c r="N1039" s="9" t="s">
        <v>109</v>
      </c>
      <c r="O1039" s="7">
        <v>0</v>
      </c>
      <c r="P1039" s="9" t="s">
        <v>63</v>
      </c>
      <c r="Q1039" s="9" t="s">
        <v>52</v>
      </c>
      <c r="R1039" s="9" t="s">
        <v>38</v>
      </c>
      <c r="S1039" s="13" t="s">
        <v>2024</v>
      </c>
      <c r="T1039" s="9" t="s">
        <v>903</v>
      </c>
      <c r="U1039" s="9" t="s">
        <v>903</v>
      </c>
      <c r="V1039" s="9" t="s">
        <v>904</v>
      </c>
      <c r="W1039" s="9" t="s">
        <v>214</v>
      </c>
      <c r="X1039" s="7">
        <v>40</v>
      </c>
      <c r="Y1039" s="7">
        <v>30</v>
      </c>
      <c r="Z1039" s="7">
        <v>30</v>
      </c>
      <c r="AA1039" s="7">
        <v>180</v>
      </c>
      <c r="AB1039" s="7">
        <f t="shared" si="80"/>
        <v>32</v>
      </c>
      <c r="AC1039" s="7">
        <f t="shared" si="79"/>
        <v>32</v>
      </c>
      <c r="AD1039" s="7"/>
      <c r="AE1039" s="7"/>
      <c r="AF1039" s="7"/>
      <c r="AG1039" s="7"/>
      <c r="AH1039" s="7"/>
      <c r="AI1039" s="10" t="s">
        <v>905</v>
      </c>
      <c r="AJ1039" s="10" t="s">
        <v>2385</v>
      </c>
      <c r="AK1039" s="7"/>
      <c r="AL1039" s="9"/>
      <c r="AM1039" s="7" t="s">
        <v>215</v>
      </c>
      <c r="AN1039" s="7" t="s">
        <v>2850</v>
      </c>
      <c r="AO1039" s="15" t="s">
        <v>2615</v>
      </c>
    </row>
    <row r="1040" spans="1:41" s="11" customFormat="1" ht="36" x14ac:dyDescent="0.25">
      <c r="A1040" s="2">
        <v>1039</v>
      </c>
      <c r="B1040" s="7" t="s">
        <v>906</v>
      </c>
      <c r="C1040" s="7" t="s">
        <v>174</v>
      </c>
      <c r="D1040" s="7" t="s">
        <v>907</v>
      </c>
      <c r="E1040" s="7">
        <f>24+18+7+11+5+20+24+6+6</f>
        <v>121</v>
      </c>
      <c r="F1040" s="8">
        <v>1</v>
      </c>
      <c r="G1040" s="9" t="s">
        <v>908</v>
      </c>
      <c r="H1040" s="7" t="s">
        <v>909</v>
      </c>
      <c r="I1040" s="7">
        <f>19+3+11</f>
        <v>33</v>
      </c>
      <c r="J1040" s="9" t="s">
        <v>176</v>
      </c>
      <c r="K1040" s="9" t="s">
        <v>278</v>
      </c>
      <c r="L1040" s="7" t="s">
        <v>52</v>
      </c>
      <c r="M1040" s="7">
        <f t="shared" si="77"/>
        <v>1</v>
      </c>
      <c r="N1040" s="9" t="s">
        <v>278</v>
      </c>
      <c r="O1040" s="7">
        <v>0</v>
      </c>
      <c r="P1040" s="9" t="s">
        <v>63</v>
      </c>
      <c r="Q1040" s="9" t="s">
        <v>38</v>
      </c>
      <c r="R1040" s="9" t="s">
        <v>52</v>
      </c>
      <c r="S1040" s="13" t="s">
        <v>2025</v>
      </c>
      <c r="T1040" s="9" t="s">
        <v>910</v>
      </c>
      <c r="U1040" s="7">
        <v>36</v>
      </c>
      <c r="V1040" s="7">
        <v>120</v>
      </c>
      <c r="W1040" s="9" t="s">
        <v>79</v>
      </c>
      <c r="X1040" s="7">
        <v>10</v>
      </c>
      <c r="Y1040" s="7"/>
      <c r="Z1040" s="7"/>
      <c r="AA1040" s="7"/>
      <c r="AB1040" s="7">
        <f t="shared" si="80"/>
        <v>15.333333333333334</v>
      </c>
      <c r="AC1040" s="7">
        <f t="shared" si="79"/>
        <v>15.333333333333334</v>
      </c>
      <c r="AD1040" s="7"/>
      <c r="AE1040" s="7"/>
      <c r="AF1040" s="7"/>
      <c r="AG1040" s="7"/>
      <c r="AH1040" s="7"/>
      <c r="AI1040" s="7"/>
      <c r="AJ1040" s="7"/>
      <c r="AK1040" s="7"/>
      <c r="AL1040" s="9"/>
      <c r="AM1040" s="7" t="s">
        <v>582</v>
      </c>
      <c r="AN1040" s="7" t="s">
        <v>2851</v>
      </c>
      <c r="AO1040" s="15" t="s">
        <v>2616</v>
      </c>
    </row>
    <row r="1041" spans="1:41" s="11" customFormat="1" x14ac:dyDescent="0.25">
      <c r="A1041" s="2">
        <v>1040</v>
      </c>
      <c r="B1041" s="7" t="s">
        <v>856</v>
      </c>
      <c r="C1041" s="7" t="s">
        <v>577</v>
      </c>
      <c r="D1041" s="7">
        <v>86</v>
      </c>
      <c r="E1041" s="7">
        <v>86</v>
      </c>
      <c r="F1041" s="8">
        <v>7</v>
      </c>
      <c r="G1041" s="8">
        <v>7</v>
      </c>
      <c r="H1041" s="7" t="s">
        <v>122</v>
      </c>
      <c r="I1041" s="7">
        <v>7</v>
      </c>
      <c r="J1041" s="9" t="s">
        <v>639</v>
      </c>
      <c r="K1041" s="7"/>
      <c r="L1041" s="7" t="s">
        <v>38</v>
      </c>
      <c r="M1041" s="7">
        <f t="shared" si="77"/>
        <v>0</v>
      </c>
      <c r="N1041" s="9"/>
      <c r="O1041" s="7"/>
      <c r="P1041" s="9"/>
      <c r="Q1041" s="7"/>
      <c r="R1041" s="7"/>
      <c r="S1041" s="7"/>
      <c r="T1041" s="7"/>
      <c r="U1041" s="7"/>
      <c r="V1041" s="7"/>
      <c r="W1041" s="7"/>
      <c r="X1041" s="7"/>
      <c r="Y1041" s="7"/>
      <c r="Z1041" s="7"/>
      <c r="AA1041" s="7"/>
      <c r="AB1041" s="7">
        <v>0.33333333333333298</v>
      </c>
      <c r="AC1041" s="7">
        <f t="shared" si="79"/>
        <v>0</v>
      </c>
      <c r="AD1041" s="7"/>
      <c r="AE1041" s="7"/>
      <c r="AF1041" s="7"/>
      <c r="AG1041" s="7"/>
      <c r="AH1041" s="7"/>
      <c r="AI1041" s="7"/>
      <c r="AJ1041" s="7"/>
      <c r="AK1041" s="7"/>
      <c r="AL1041" s="9"/>
      <c r="AM1041" s="7"/>
      <c r="AN1041" s="7"/>
      <c r="AO1041" s="15" t="s">
        <v>2617</v>
      </c>
    </row>
    <row r="1042" spans="1:41" s="11" customFormat="1" ht="36" x14ac:dyDescent="0.25">
      <c r="A1042" s="2">
        <v>1041</v>
      </c>
      <c r="B1042" s="7" t="s">
        <v>856</v>
      </c>
      <c r="C1042" s="7" t="s">
        <v>174</v>
      </c>
      <c r="D1042" s="7" t="s">
        <v>911</v>
      </c>
      <c r="E1042" s="7">
        <f>323+118+41</f>
        <v>482</v>
      </c>
      <c r="F1042" s="8">
        <v>1</v>
      </c>
      <c r="G1042" s="9" t="s">
        <v>293</v>
      </c>
      <c r="H1042" s="7" t="s">
        <v>293</v>
      </c>
      <c r="I1042" s="7">
        <v>3</v>
      </c>
      <c r="J1042" s="9" t="s">
        <v>176</v>
      </c>
      <c r="K1042" s="9" t="s">
        <v>204</v>
      </c>
      <c r="L1042" s="7" t="s">
        <v>52</v>
      </c>
      <c r="M1042" s="7">
        <f t="shared" si="77"/>
        <v>1</v>
      </c>
      <c r="N1042" s="9" t="s">
        <v>177</v>
      </c>
      <c r="O1042" s="7">
        <v>0</v>
      </c>
      <c r="P1042" s="9" t="s">
        <v>63</v>
      </c>
      <c r="Q1042" s="9" t="s">
        <v>38</v>
      </c>
      <c r="R1042" s="9" t="s">
        <v>52</v>
      </c>
      <c r="S1042" s="13" t="s">
        <v>2026</v>
      </c>
      <c r="T1042" s="9" t="s">
        <v>912</v>
      </c>
      <c r="U1042" s="7">
        <v>11</v>
      </c>
      <c r="V1042" s="7">
        <v>360</v>
      </c>
      <c r="W1042" s="9" t="s">
        <v>79</v>
      </c>
      <c r="X1042" s="7">
        <v>10</v>
      </c>
      <c r="Y1042" s="7">
        <v>20</v>
      </c>
      <c r="Z1042" s="7">
        <v>20</v>
      </c>
      <c r="AA1042" s="7">
        <v>220</v>
      </c>
      <c r="AB1042" s="7">
        <f>(U1042+X1042+Z1042)/3</f>
        <v>13.666666666666666</v>
      </c>
      <c r="AC1042" s="7">
        <f t="shared" si="79"/>
        <v>13.666666666666666</v>
      </c>
      <c r="AD1042" s="7"/>
      <c r="AE1042" s="7"/>
      <c r="AF1042" s="7"/>
      <c r="AG1042" s="7"/>
      <c r="AH1042" s="7"/>
      <c r="AI1042" s="7"/>
      <c r="AJ1042" s="7"/>
      <c r="AK1042" s="7"/>
      <c r="AL1042" s="9" t="s">
        <v>38</v>
      </c>
      <c r="AM1042" s="7" t="s">
        <v>215</v>
      </c>
      <c r="AN1042" s="7" t="s">
        <v>2850</v>
      </c>
      <c r="AO1042" s="15" t="s">
        <v>2618</v>
      </c>
    </row>
    <row r="1043" spans="1:41" s="11" customFormat="1" ht="24" x14ac:dyDescent="0.25">
      <c r="A1043" s="2">
        <v>1042</v>
      </c>
      <c r="B1043" s="7" t="s">
        <v>913</v>
      </c>
      <c r="C1043" s="7" t="s">
        <v>823</v>
      </c>
      <c r="D1043" s="7">
        <v>93</v>
      </c>
      <c r="E1043" s="7">
        <v>93</v>
      </c>
      <c r="F1043" s="8">
        <v>1</v>
      </c>
      <c r="G1043" s="8">
        <v>1</v>
      </c>
      <c r="H1043" s="7">
        <v>1</v>
      </c>
      <c r="I1043" s="7">
        <v>1</v>
      </c>
      <c r="J1043" s="9" t="s">
        <v>77</v>
      </c>
      <c r="K1043" s="7">
        <v>1</v>
      </c>
      <c r="L1043" s="7" t="s">
        <v>52</v>
      </c>
      <c r="M1043" s="7">
        <f t="shared" si="77"/>
        <v>1</v>
      </c>
      <c r="N1043" s="9" t="s">
        <v>36</v>
      </c>
      <c r="O1043" s="7">
        <v>0</v>
      </c>
      <c r="P1043" s="9" t="s">
        <v>37</v>
      </c>
      <c r="Q1043" s="9" t="s">
        <v>38</v>
      </c>
      <c r="R1043" s="9" t="s">
        <v>38</v>
      </c>
      <c r="S1043" s="13" t="s">
        <v>2027</v>
      </c>
      <c r="T1043" s="7"/>
      <c r="U1043" s="7"/>
      <c r="V1043" s="7"/>
      <c r="W1043" s="7"/>
      <c r="X1043" s="7">
        <v>3</v>
      </c>
      <c r="Y1043" s="7">
        <v>100</v>
      </c>
      <c r="Z1043" s="7">
        <v>100</v>
      </c>
      <c r="AA1043" s="7">
        <v>64</v>
      </c>
      <c r="AB1043" s="7">
        <f>(U1043+X1043+Z1043)/3</f>
        <v>34.333333333333336</v>
      </c>
      <c r="AC1043" s="7">
        <f t="shared" si="79"/>
        <v>34.333333333333336</v>
      </c>
      <c r="AD1043" s="7"/>
      <c r="AE1043" s="7"/>
      <c r="AF1043" s="7"/>
      <c r="AG1043" s="7"/>
      <c r="AH1043" s="7"/>
      <c r="AI1043" s="7"/>
      <c r="AJ1043" s="7" t="s">
        <v>914</v>
      </c>
      <c r="AK1043" s="7"/>
      <c r="AL1043" s="9"/>
      <c r="AM1043" s="7" t="s">
        <v>42</v>
      </c>
      <c r="AN1043" s="7" t="s">
        <v>42</v>
      </c>
      <c r="AO1043" s="12"/>
    </row>
    <row r="1044" spans="1:41" s="11" customFormat="1" x14ac:dyDescent="0.25">
      <c r="A1044" s="2">
        <v>1043</v>
      </c>
      <c r="B1044" s="7" t="s">
        <v>913</v>
      </c>
      <c r="C1044" s="7" t="s">
        <v>104</v>
      </c>
      <c r="D1044" s="7">
        <v>32</v>
      </c>
      <c r="E1044" s="7">
        <v>32</v>
      </c>
      <c r="F1044" s="8">
        <v>1</v>
      </c>
      <c r="G1044" s="8">
        <v>1</v>
      </c>
      <c r="H1044" s="7">
        <v>1</v>
      </c>
      <c r="I1044" s="7">
        <v>1</v>
      </c>
      <c r="J1044" s="9" t="s">
        <v>77</v>
      </c>
      <c r="K1044" s="7">
        <v>1</v>
      </c>
      <c r="L1044" s="7" t="s">
        <v>38</v>
      </c>
      <c r="M1044" s="7">
        <f t="shared" si="77"/>
        <v>0</v>
      </c>
      <c r="N1044" s="9" t="s">
        <v>34</v>
      </c>
      <c r="O1044" s="7">
        <v>0</v>
      </c>
      <c r="P1044" s="9" t="s">
        <v>33</v>
      </c>
      <c r="Q1044" s="9" t="s">
        <v>38</v>
      </c>
      <c r="R1044" s="9" t="s">
        <v>38</v>
      </c>
      <c r="S1044" s="13" t="s">
        <v>2028</v>
      </c>
      <c r="T1044" s="7"/>
      <c r="U1044" s="7"/>
      <c r="V1044" s="7"/>
      <c r="W1044" s="7"/>
      <c r="X1044" s="7">
        <v>3</v>
      </c>
      <c r="Y1044" s="7"/>
      <c r="Z1044" s="7"/>
      <c r="AA1044" s="7"/>
      <c r="AB1044" s="7">
        <f>(U1044+X1044+Z1044)/3</f>
        <v>1</v>
      </c>
      <c r="AC1044" s="7">
        <f t="shared" si="79"/>
        <v>0</v>
      </c>
      <c r="AD1044" s="7">
        <v>1</v>
      </c>
      <c r="AE1044" s="7"/>
      <c r="AF1044" s="7" t="s">
        <v>40</v>
      </c>
      <c r="AG1044" s="7" t="s">
        <v>915</v>
      </c>
      <c r="AH1044" s="7"/>
      <c r="AI1044" s="7"/>
      <c r="AJ1044" s="7"/>
      <c r="AK1044" s="7"/>
      <c r="AL1044" s="9"/>
      <c r="AM1044" s="7" t="s">
        <v>647</v>
      </c>
      <c r="AN1044" s="7" t="s">
        <v>2847</v>
      </c>
      <c r="AO1044" s="12"/>
    </row>
    <row r="1045" spans="1:41" s="11" customFormat="1" x14ac:dyDescent="0.25">
      <c r="A1045" s="2">
        <v>1044</v>
      </c>
      <c r="B1045" s="7" t="s">
        <v>913</v>
      </c>
      <c r="C1045" s="7" t="s">
        <v>115</v>
      </c>
      <c r="D1045" s="7" t="s">
        <v>699</v>
      </c>
      <c r="E1045" s="7">
        <v>13</v>
      </c>
      <c r="F1045" s="8">
        <v>2</v>
      </c>
      <c r="G1045" s="8">
        <v>2</v>
      </c>
      <c r="H1045" s="7" t="s">
        <v>87</v>
      </c>
      <c r="I1045" s="7">
        <v>2</v>
      </c>
      <c r="J1045" s="9" t="s">
        <v>77</v>
      </c>
      <c r="K1045" s="7">
        <v>1</v>
      </c>
      <c r="L1045" s="7" t="s">
        <v>38</v>
      </c>
      <c r="M1045" s="7">
        <f t="shared" si="77"/>
        <v>0</v>
      </c>
      <c r="N1045" s="9" t="s">
        <v>82</v>
      </c>
      <c r="O1045" s="7">
        <v>0</v>
      </c>
      <c r="P1045" s="9" t="s">
        <v>34</v>
      </c>
      <c r="Q1045" s="9" t="s">
        <v>38</v>
      </c>
      <c r="R1045" s="9" t="s">
        <v>38</v>
      </c>
      <c r="S1045" s="13" t="s">
        <v>2029</v>
      </c>
      <c r="T1045" s="7"/>
      <c r="U1045" s="7"/>
      <c r="V1045" s="7"/>
      <c r="W1045" s="7"/>
      <c r="X1045" s="7"/>
      <c r="Y1045" s="7"/>
      <c r="Z1045" s="7"/>
      <c r="AA1045" s="7"/>
      <c r="AB1045" s="7">
        <v>0.33333333333333298</v>
      </c>
      <c r="AC1045" s="7">
        <f t="shared" si="79"/>
        <v>0</v>
      </c>
      <c r="AD1045" s="7">
        <v>2</v>
      </c>
      <c r="AE1045" s="7"/>
      <c r="AF1045" s="7" t="s">
        <v>40</v>
      </c>
      <c r="AG1045" s="7" t="s">
        <v>916</v>
      </c>
      <c r="AH1045" s="7"/>
      <c r="AI1045" s="7"/>
      <c r="AJ1045" s="7"/>
      <c r="AK1045" s="7"/>
      <c r="AL1045" s="9"/>
      <c r="AM1045" s="7" t="s">
        <v>71</v>
      </c>
      <c r="AN1045" s="7" t="s">
        <v>71</v>
      </c>
      <c r="AO1045" s="12" t="s">
        <v>118</v>
      </c>
    </row>
    <row r="1046" spans="1:41" s="11" customFormat="1" x14ac:dyDescent="0.25">
      <c r="A1046" s="2">
        <v>1045</v>
      </c>
      <c r="B1046" s="7" t="s">
        <v>913</v>
      </c>
      <c r="C1046" s="7" t="s">
        <v>100</v>
      </c>
      <c r="D1046" s="7">
        <v>3</v>
      </c>
      <c r="E1046" s="7">
        <v>3</v>
      </c>
      <c r="F1046" s="8">
        <v>1</v>
      </c>
      <c r="G1046" s="8">
        <v>1</v>
      </c>
      <c r="H1046" s="7">
        <v>1</v>
      </c>
      <c r="I1046" s="7">
        <v>1</v>
      </c>
      <c r="J1046" s="9" t="s">
        <v>77</v>
      </c>
      <c r="K1046" s="7">
        <v>1</v>
      </c>
      <c r="L1046" s="7" t="s">
        <v>38</v>
      </c>
      <c r="M1046" s="7">
        <f t="shared" si="77"/>
        <v>0</v>
      </c>
      <c r="N1046" s="9"/>
      <c r="O1046" s="7"/>
      <c r="P1046" s="9"/>
      <c r="Q1046" s="7"/>
      <c r="R1046" s="7"/>
      <c r="S1046" s="10" t="s">
        <v>1715</v>
      </c>
      <c r="T1046" s="7"/>
      <c r="U1046" s="7"/>
      <c r="V1046" s="7"/>
      <c r="W1046" s="7"/>
      <c r="X1046" s="7">
        <v>3</v>
      </c>
      <c r="Y1046" s="7"/>
      <c r="Z1046" s="7"/>
      <c r="AA1046" s="7"/>
      <c r="AB1046" s="7">
        <f t="shared" ref="AB1046:AB1058" si="81">(U1046+X1046+Z1046)/3</f>
        <v>1</v>
      </c>
      <c r="AC1046" s="7">
        <f t="shared" si="79"/>
        <v>0</v>
      </c>
      <c r="AD1046" s="7"/>
      <c r="AE1046" s="7"/>
      <c r="AF1046" s="7"/>
      <c r="AG1046" s="7"/>
      <c r="AH1046" s="7"/>
      <c r="AI1046" s="7"/>
      <c r="AJ1046" s="7"/>
      <c r="AK1046" s="7"/>
      <c r="AL1046" s="9"/>
      <c r="AM1046" s="7" t="s">
        <v>71</v>
      </c>
      <c r="AN1046" s="7" t="s">
        <v>71</v>
      </c>
      <c r="AO1046" s="12"/>
    </row>
    <row r="1047" spans="1:41" s="11" customFormat="1" ht="24" x14ac:dyDescent="0.25">
      <c r="A1047" s="2">
        <v>1046</v>
      </c>
      <c r="B1047" s="7" t="s">
        <v>913</v>
      </c>
      <c r="C1047" s="7" t="s">
        <v>50</v>
      </c>
      <c r="D1047" s="7">
        <v>125</v>
      </c>
      <c r="E1047" s="7">
        <v>125</v>
      </c>
      <c r="F1047" s="8">
        <v>1</v>
      </c>
      <c r="G1047" s="8">
        <v>1</v>
      </c>
      <c r="H1047" s="7">
        <v>1</v>
      </c>
      <c r="I1047" s="7">
        <v>1</v>
      </c>
      <c r="J1047" s="7" t="s">
        <v>1489</v>
      </c>
      <c r="K1047" s="7">
        <v>2</v>
      </c>
      <c r="L1047" s="7" t="s">
        <v>52</v>
      </c>
      <c r="M1047" s="7">
        <f t="shared" si="77"/>
        <v>1</v>
      </c>
      <c r="N1047" s="9" t="s">
        <v>36</v>
      </c>
      <c r="O1047" s="7">
        <v>0</v>
      </c>
      <c r="P1047" s="9" t="s">
        <v>63</v>
      </c>
      <c r="Q1047" s="9" t="s">
        <v>38</v>
      </c>
      <c r="R1047" s="9" t="s">
        <v>38</v>
      </c>
      <c r="S1047" s="13" t="s">
        <v>2030</v>
      </c>
      <c r="T1047" s="7"/>
      <c r="U1047" s="7"/>
      <c r="V1047" s="7"/>
      <c r="W1047" s="7"/>
      <c r="X1047" s="7">
        <v>3</v>
      </c>
      <c r="Y1047" s="7">
        <v>100</v>
      </c>
      <c r="Z1047" s="7">
        <v>100</v>
      </c>
      <c r="AA1047" s="7">
        <v>71</v>
      </c>
      <c r="AB1047" s="7">
        <f t="shared" si="81"/>
        <v>34.333333333333336</v>
      </c>
      <c r="AC1047" s="7">
        <f t="shared" si="79"/>
        <v>34.333333333333336</v>
      </c>
      <c r="AD1047" s="7"/>
      <c r="AE1047" s="7"/>
      <c r="AF1047" s="7"/>
      <c r="AG1047" s="7"/>
      <c r="AH1047" s="7"/>
      <c r="AI1047" s="7"/>
      <c r="AJ1047" s="10" t="s">
        <v>2386</v>
      </c>
      <c r="AK1047" s="7"/>
      <c r="AL1047" s="9"/>
      <c r="AM1047" s="7" t="s">
        <v>42</v>
      </c>
      <c r="AN1047" s="7" t="s">
        <v>42</v>
      </c>
      <c r="AO1047" s="12"/>
    </row>
    <row r="1048" spans="1:41" s="11" customFormat="1" x14ac:dyDescent="0.25">
      <c r="A1048" s="2">
        <v>1047</v>
      </c>
      <c r="B1048" s="7" t="s">
        <v>913</v>
      </c>
      <c r="C1048" s="7" t="s">
        <v>89</v>
      </c>
      <c r="D1048" s="7" t="s">
        <v>384</v>
      </c>
      <c r="E1048" s="7">
        <v>6</v>
      </c>
      <c r="F1048" s="8">
        <v>2</v>
      </c>
      <c r="G1048" s="8">
        <v>2</v>
      </c>
      <c r="H1048" s="7" t="s">
        <v>87</v>
      </c>
      <c r="I1048" s="7">
        <v>2</v>
      </c>
      <c r="J1048" s="9" t="s">
        <v>70</v>
      </c>
      <c r="K1048" s="7">
        <v>1</v>
      </c>
      <c r="L1048" s="7" t="s">
        <v>52</v>
      </c>
      <c r="M1048" s="7">
        <f t="shared" si="77"/>
        <v>2</v>
      </c>
      <c r="N1048" s="9"/>
      <c r="O1048" s="7"/>
      <c r="P1048" s="9"/>
      <c r="Q1048" s="7"/>
      <c r="R1048" s="7"/>
      <c r="S1048" s="7"/>
      <c r="T1048" s="7"/>
      <c r="U1048" s="7"/>
      <c r="V1048" s="7"/>
      <c r="W1048" s="7"/>
      <c r="X1048" s="7">
        <v>3</v>
      </c>
      <c r="Y1048" s="7"/>
      <c r="Z1048" s="7"/>
      <c r="AA1048" s="7"/>
      <c r="AB1048" s="7">
        <f t="shared" si="81"/>
        <v>1</v>
      </c>
      <c r="AC1048" s="7">
        <f t="shared" si="79"/>
        <v>1</v>
      </c>
      <c r="AD1048" s="7"/>
      <c r="AE1048" s="7"/>
      <c r="AF1048" s="7"/>
      <c r="AG1048" s="7"/>
      <c r="AH1048" s="7"/>
      <c r="AI1048" s="7"/>
      <c r="AJ1048" s="7"/>
      <c r="AK1048" s="7"/>
      <c r="AL1048" s="9"/>
      <c r="AM1048" s="7" t="s">
        <v>71</v>
      </c>
      <c r="AN1048" s="7" t="s">
        <v>71</v>
      </c>
      <c r="AO1048" s="12"/>
    </row>
    <row r="1049" spans="1:41" s="11" customFormat="1" x14ac:dyDescent="0.25">
      <c r="A1049" s="2">
        <v>1048</v>
      </c>
      <c r="B1049" s="7" t="s">
        <v>913</v>
      </c>
      <c r="C1049" s="7" t="s">
        <v>50</v>
      </c>
      <c r="D1049" s="7">
        <v>28</v>
      </c>
      <c r="E1049" s="7">
        <v>28</v>
      </c>
      <c r="F1049" s="8">
        <v>1</v>
      </c>
      <c r="G1049" s="8">
        <v>1</v>
      </c>
      <c r="H1049" s="7">
        <v>1</v>
      </c>
      <c r="I1049" s="7">
        <v>1</v>
      </c>
      <c r="J1049" s="9" t="s">
        <v>35</v>
      </c>
      <c r="K1049" s="7">
        <v>2</v>
      </c>
      <c r="L1049" s="7" t="s">
        <v>52</v>
      </c>
      <c r="M1049" s="7">
        <f t="shared" si="77"/>
        <v>1</v>
      </c>
      <c r="N1049" s="9" t="s">
        <v>34</v>
      </c>
      <c r="O1049" s="7">
        <v>1</v>
      </c>
      <c r="P1049" s="9" t="s">
        <v>63</v>
      </c>
      <c r="Q1049" s="9" t="s">
        <v>38</v>
      </c>
      <c r="R1049" s="9" t="s">
        <v>38</v>
      </c>
      <c r="S1049" s="13" t="s">
        <v>1888</v>
      </c>
      <c r="T1049" s="7"/>
      <c r="U1049" s="7"/>
      <c r="V1049" s="7"/>
      <c r="W1049" s="7"/>
      <c r="X1049" s="7"/>
      <c r="Y1049" s="7">
        <v>100</v>
      </c>
      <c r="Z1049" s="7">
        <v>100</v>
      </c>
      <c r="AA1049" s="7">
        <v>41</v>
      </c>
      <c r="AB1049" s="7">
        <f t="shared" si="81"/>
        <v>33.333333333333336</v>
      </c>
      <c r="AC1049" s="7">
        <f t="shared" si="79"/>
        <v>33.333333333333336</v>
      </c>
      <c r="AD1049" s="7"/>
      <c r="AE1049" s="7"/>
      <c r="AF1049" s="7"/>
      <c r="AG1049" s="7"/>
      <c r="AH1049" s="7"/>
      <c r="AI1049" s="7"/>
      <c r="AJ1049" s="7"/>
      <c r="AK1049" s="7"/>
      <c r="AL1049" s="9"/>
      <c r="AM1049" s="7" t="s">
        <v>42</v>
      </c>
      <c r="AN1049" s="7" t="s">
        <v>42</v>
      </c>
      <c r="AO1049" s="12"/>
    </row>
    <row r="1050" spans="1:41" s="11" customFormat="1" ht="24" x14ac:dyDescent="0.25">
      <c r="A1050" s="2">
        <v>1049</v>
      </c>
      <c r="B1050" s="7" t="s">
        <v>913</v>
      </c>
      <c r="C1050" s="7" t="s">
        <v>50</v>
      </c>
      <c r="D1050" s="7">
        <v>68</v>
      </c>
      <c r="E1050" s="7">
        <v>68</v>
      </c>
      <c r="F1050" s="8">
        <v>1</v>
      </c>
      <c r="G1050" s="8">
        <v>1</v>
      </c>
      <c r="H1050" s="7">
        <v>1</v>
      </c>
      <c r="I1050" s="7">
        <v>1</v>
      </c>
      <c r="J1050" s="9" t="s">
        <v>35</v>
      </c>
      <c r="K1050" s="7">
        <v>2</v>
      </c>
      <c r="L1050" s="7" t="s">
        <v>52</v>
      </c>
      <c r="M1050" s="7">
        <f t="shared" si="77"/>
        <v>1</v>
      </c>
      <c r="N1050" s="9" t="s">
        <v>34</v>
      </c>
      <c r="O1050" s="7">
        <v>1</v>
      </c>
      <c r="P1050" s="9" t="s">
        <v>63</v>
      </c>
      <c r="Q1050" s="7" t="s">
        <v>38</v>
      </c>
      <c r="R1050" s="7" t="s">
        <v>38</v>
      </c>
      <c r="S1050" s="13" t="s">
        <v>2031</v>
      </c>
      <c r="T1050" s="7"/>
      <c r="U1050" s="7"/>
      <c r="V1050" s="7"/>
      <c r="W1050" s="7"/>
      <c r="X1050" s="7"/>
      <c r="Y1050" s="7">
        <v>40</v>
      </c>
      <c r="Z1050" s="7">
        <v>40</v>
      </c>
      <c r="AA1050" s="7">
        <v>70</v>
      </c>
      <c r="AB1050" s="7">
        <f t="shared" si="81"/>
        <v>13.333333333333334</v>
      </c>
      <c r="AC1050" s="7">
        <f t="shared" si="79"/>
        <v>13.333333333333334</v>
      </c>
      <c r="AD1050" s="7"/>
      <c r="AE1050" s="7"/>
      <c r="AF1050" s="7"/>
      <c r="AG1050" s="7"/>
      <c r="AH1050" s="7"/>
      <c r="AI1050" s="7"/>
      <c r="AJ1050" s="7"/>
      <c r="AK1050" s="7"/>
      <c r="AL1050" s="9"/>
      <c r="AM1050" s="7" t="s">
        <v>71</v>
      </c>
      <c r="AN1050" s="7" t="s">
        <v>71</v>
      </c>
      <c r="AO1050" s="12"/>
    </row>
    <row r="1051" spans="1:41" s="11" customFormat="1" x14ac:dyDescent="0.25">
      <c r="A1051" s="2">
        <v>1050</v>
      </c>
      <c r="B1051" s="7" t="s">
        <v>913</v>
      </c>
      <c r="C1051" s="7" t="s">
        <v>50</v>
      </c>
      <c r="D1051" s="7">
        <v>23</v>
      </c>
      <c r="E1051" s="7">
        <v>23</v>
      </c>
      <c r="F1051" s="8">
        <v>1</v>
      </c>
      <c r="G1051" s="8">
        <v>1</v>
      </c>
      <c r="H1051" s="7">
        <v>1</v>
      </c>
      <c r="I1051" s="7">
        <v>1</v>
      </c>
      <c r="J1051" s="9" t="s">
        <v>35</v>
      </c>
      <c r="K1051" s="7">
        <v>1</v>
      </c>
      <c r="L1051" s="7" t="s">
        <v>52</v>
      </c>
      <c r="M1051" s="7">
        <f t="shared" si="77"/>
        <v>1</v>
      </c>
      <c r="N1051" s="9" t="s">
        <v>34</v>
      </c>
      <c r="O1051" s="7">
        <v>3</v>
      </c>
      <c r="P1051" s="9" t="s">
        <v>33</v>
      </c>
      <c r="Q1051" s="9" t="s">
        <v>38</v>
      </c>
      <c r="R1051" s="9" t="s">
        <v>38</v>
      </c>
      <c r="S1051" s="13" t="s">
        <v>2032</v>
      </c>
      <c r="T1051" s="7"/>
      <c r="U1051" s="7"/>
      <c r="V1051" s="7"/>
      <c r="W1051" s="7"/>
      <c r="X1051" s="7"/>
      <c r="Y1051" s="7">
        <v>15</v>
      </c>
      <c r="Z1051" s="7">
        <v>15</v>
      </c>
      <c r="AA1051" s="7">
        <v>70</v>
      </c>
      <c r="AB1051" s="7">
        <f t="shared" si="81"/>
        <v>5</v>
      </c>
      <c r="AC1051" s="7">
        <f t="shared" si="79"/>
        <v>5</v>
      </c>
      <c r="AD1051" s="7"/>
      <c r="AE1051" s="7"/>
      <c r="AF1051" s="7"/>
      <c r="AG1051" s="7"/>
      <c r="AH1051" s="7"/>
      <c r="AI1051" s="7"/>
      <c r="AJ1051" s="7"/>
      <c r="AK1051" s="7"/>
      <c r="AL1051" s="9"/>
      <c r="AM1051" s="7" t="s">
        <v>71</v>
      </c>
      <c r="AN1051" s="7" t="s">
        <v>71</v>
      </c>
      <c r="AO1051" s="12"/>
    </row>
    <row r="1052" spans="1:41" s="11" customFormat="1" x14ac:dyDescent="0.25">
      <c r="A1052" s="2">
        <v>1051</v>
      </c>
      <c r="B1052" s="7" t="s">
        <v>913</v>
      </c>
      <c r="C1052" s="7" t="s">
        <v>50</v>
      </c>
      <c r="D1052" s="7">
        <v>16</v>
      </c>
      <c r="E1052" s="7">
        <v>16</v>
      </c>
      <c r="F1052" s="8">
        <v>1</v>
      </c>
      <c r="G1052" s="8">
        <v>1</v>
      </c>
      <c r="H1052" s="7">
        <v>1</v>
      </c>
      <c r="I1052" s="7">
        <v>1</v>
      </c>
      <c r="J1052" s="9" t="s">
        <v>35</v>
      </c>
      <c r="K1052" s="7">
        <v>1</v>
      </c>
      <c r="L1052" s="7" t="s">
        <v>52</v>
      </c>
      <c r="M1052" s="7">
        <f t="shared" si="77"/>
        <v>1</v>
      </c>
      <c r="N1052" s="9" t="s">
        <v>34</v>
      </c>
      <c r="O1052" s="7">
        <v>0</v>
      </c>
      <c r="P1052" s="9" t="s">
        <v>63</v>
      </c>
      <c r="Q1052" s="7" t="s">
        <v>38</v>
      </c>
      <c r="R1052" s="7" t="s">
        <v>38</v>
      </c>
      <c r="S1052" s="13" t="s">
        <v>2033</v>
      </c>
      <c r="T1052" s="7"/>
      <c r="U1052" s="7"/>
      <c r="V1052" s="7"/>
      <c r="W1052" s="7"/>
      <c r="X1052" s="7"/>
      <c r="Y1052" s="7">
        <v>20</v>
      </c>
      <c r="Z1052" s="7">
        <v>20</v>
      </c>
      <c r="AA1052" s="7">
        <v>90</v>
      </c>
      <c r="AB1052" s="7">
        <f t="shared" si="81"/>
        <v>6.666666666666667</v>
      </c>
      <c r="AC1052" s="7">
        <f t="shared" si="79"/>
        <v>6.666666666666667</v>
      </c>
      <c r="AD1052" s="7"/>
      <c r="AE1052" s="7">
        <v>1</v>
      </c>
      <c r="AF1052" s="7"/>
      <c r="AG1052" s="7" t="s">
        <v>917</v>
      </c>
      <c r="AH1052" s="7" t="s">
        <v>38</v>
      </c>
      <c r="AI1052" s="7"/>
      <c r="AJ1052" s="7"/>
      <c r="AK1052" s="7"/>
      <c r="AL1052" s="9"/>
      <c r="AM1052" s="7" t="s">
        <v>42</v>
      </c>
      <c r="AN1052" s="7" t="s">
        <v>42</v>
      </c>
      <c r="AO1052" s="12"/>
    </row>
    <row r="1053" spans="1:41" s="11" customFormat="1" ht="24" x14ac:dyDescent="0.25">
      <c r="A1053" s="2">
        <v>1052</v>
      </c>
      <c r="B1053" s="7" t="s">
        <v>913</v>
      </c>
      <c r="C1053" s="7" t="s">
        <v>918</v>
      </c>
      <c r="D1053" s="7" t="s">
        <v>919</v>
      </c>
      <c r="E1053" s="7">
        <f>18+15+13+10+4</f>
        <v>60</v>
      </c>
      <c r="F1053" s="8">
        <v>1</v>
      </c>
      <c r="G1053" s="8">
        <v>6</v>
      </c>
      <c r="H1053" s="7" t="s">
        <v>920</v>
      </c>
      <c r="I1053" s="7">
        <v>6</v>
      </c>
      <c r="J1053" s="9" t="s">
        <v>35</v>
      </c>
      <c r="K1053" s="7">
        <v>2</v>
      </c>
      <c r="L1053" s="7" t="s">
        <v>52</v>
      </c>
      <c r="M1053" s="7">
        <f t="shared" si="77"/>
        <v>1</v>
      </c>
      <c r="N1053" s="9" t="s">
        <v>34</v>
      </c>
      <c r="O1053" s="7">
        <v>0</v>
      </c>
      <c r="P1053" s="9" t="s">
        <v>37</v>
      </c>
      <c r="Q1053" s="9" t="s">
        <v>38</v>
      </c>
      <c r="R1053" s="9" t="s">
        <v>38</v>
      </c>
      <c r="S1053" s="13" t="s">
        <v>2034</v>
      </c>
      <c r="T1053" s="7"/>
      <c r="U1053" s="7"/>
      <c r="V1053" s="7"/>
      <c r="W1053" s="7"/>
      <c r="X1053" s="7">
        <v>3</v>
      </c>
      <c r="Y1053" s="7"/>
      <c r="Z1053" s="7"/>
      <c r="AA1053" s="7"/>
      <c r="AB1053" s="7">
        <f t="shared" si="81"/>
        <v>1</v>
      </c>
      <c r="AC1053" s="7">
        <f t="shared" si="79"/>
        <v>1</v>
      </c>
      <c r="AD1053" s="7"/>
      <c r="AE1053" s="7">
        <v>3</v>
      </c>
      <c r="AF1053" s="7" t="s">
        <v>40</v>
      </c>
      <c r="AG1053" s="7" t="s">
        <v>921</v>
      </c>
      <c r="AH1053" s="7" t="s">
        <v>38</v>
      </c>
      <c r="AI1053" s="7"/>
      <c r="AJ1053" s="7"/>
      <c r="AK1053" s="7"/>
      <c r="AL1053" s="9"/>
      <c r="AM1053" s="7" t="s">
        <v>42</v>
      </c>
      <c r="AN1053" s="7" t="s">
        <v>42</v>
      </c>
      <c r="AO1053" s="15" t="s">
        <v>2619</v>
      </c>
    </row>
    <row r="1054" spans="1:41" s="11" customFormat="1" ht="24" x14ac:dyDescent="0.25">
      <c r="A1054" s="2">
        <v>1053</v>
      </c>
      <c r="B1054" s="7" t="s">
        <v>913</v>
      </c>
      <c r="C1054" s="7" t="s">
        <v>249</v>
      </c>
      <c r="D1054" s="7" t="s">
        <v>922</v>
      </c>
      <c r="E1054" s="7">
        <v>35</v>
      </c>
      <c r="F1054" s="8">
        <v>3</v>
      </c>
      <c r="G1054" s="8">
        <v>3</v>
      </c>
      <c r="H1054" s="7" t="s">
        <v>97</v>
      </c>
      <c r="I1054" s="7">
        <v>3</v>
      </c>
      <c r="J1054" s="9" t="s">
        <v>35</v>
      </c>
      <c r="K1054" s="7">
        <v>2</v>
      </c>
      <c r="L1054" s="7" t="s">
        <v>52</v>
      </c>
      <c r="M1054" s="7">
        <f t="shared" si="77"/>
        <v>3</v>
      </c>
      <c r="N1054" s="9" t="s">
        <v>34</v>
      </c>
      <c r="O1054" s="7">
        <v>0</v>
      </c>
      <c r="P1054" s="9" t="s">
        <v>33</v>
      </c>
      <c r="Q1054" s="7" t="s">
        <v>38</v>
      </c>
      <c r="R1054" s="7" t="s">
        <v>38</v>
      </c>
      <c r="S1054" s="13" t="s">
        <v>2035</v>
      </c>
      <c r="T1054" s="7"/>
      <c r="U1054" s="7"/>
      <c r="V1054" s="7"/>
      <c r="W1054" s="7"/>
      <c r="X1054" s="7">
        <v>3</v>
      </c>
      <c r="Y1054" s="7"/>
      <c r="Z1054" s="7"/>
      <c r="AA1054" s="7"/>
      <c r="AB1054" s="7">
        <f t="shared" si="81"/>
        <v>1</v>
      </c>
      <c r="AC1054" s="7">
        <f t="shared" si="79"/>
        <v>1</v>
      </c>
      <c r="AD1054" s="7"/>
      <c r="AE1054" s="7">
        <v>3</v>
      </c>
      <c r="AF1054" s="7"/>
      <c r="AG1054" s="7" t="s">
        <v>923</v>
      </c>
      <c r="AH1054" s="7" t="s">
        <v>38</v>
      </c>
      <c r="AI1054" s="7"/>
      <c r="AJ1054" s="7"/>
      <c r="AK1054" s="7"/>
      <c r="AL1054" s="9"/>
      <c r="AM1054" s="7" t="s">
        <v>71</v>
      </c>
      <c r="AN1054" s="7" t="s">
        <v>71</v>
      </c>
      <c r="AO1054" s="12"/>
    </row>
    <row r="1055" spans="1:41" s="11" customFormat="1" ht="24" x14ac:dyDescent="0.25">
      <c r="A1055" s="2">
        <v>1054</v>
      </c>
      <c r="B1055" s="7" t="s">
        <v>913</v>
      </c>
      <c r="C1055" s="7" t="s">
        <v>78</v>
      </c>
      <c r="D1055" s="7" t="s">
        <v>440</v>
      </c>
      <c r="E1055" s="7">
        <v>28</v>
      </c>
      <c r="F1055" s="8">
        <v>1</v>
      </c>
      <c r="G1055" s="8">
        <v>1</v>
      </c>
      <c r="H1055" s="7">
        <v>1</v>
      </c>
      <c r="I1055" s="7">
        <v>1</v>
      </c>
      <c r="J1055" s="9" t="s">
        <v>35</v>
      </c>
      <c r="K1055" s="7">
        <v>1</v>
      </c>
      <c r="L1055" s="7" t="s">
        <v>52</v>
      </c>
      <c r="M1055" s="7">
        <f t="shared" si="77"/>
        <v>1</v>
      </c>
      <c r="N1055" s="9" t="s">
        <v>34</v>
      </c>
      <c r="O1055" s="7">
        <v>1</v>
      </c>
      <c r="P1055" s="9" t="s">
        <v>63</v>
      </c>
      <c r="Q1055" s="9" t="s">
        <v>38</v>
      </c>
      <c r="R1055" s="9" t="s">
        <v>38</v>
      </c>
      <c r="S1055" s="10" t="s">
        <v>1927</v>
      </c>
      <c r="T1055" s="7" t="s">
        <v>924</v>
      </c>
      <c r="U1055" s="7">
        <v>17</v>
      </c>
      <c r="V1055" s="7">
        <v>140</v>
      </c>
      <c r="W1055" s="7" t="s">
        <v>239</v>
      </c>
      <c r="X1055" s="7"/>
      <c r="Y1055" s="7"/>
      <c r="Z1055" s="7"/>
      <c r="AA1055" s="7"/>
      <c r="AB1055" s="7">
        <f t="shared" si="81"/>
        <v>5.666666666666667</v>
      </c>
      <c r="AC1055" s="7">
        <f t="shared" si="79"/>
        <v>5.666666666666667</v>
      </c>
      <c r="AD1055" s="7"/>
      <c r="AE1055" s="7">
        <v>1</v>
      </c>
      <c r="AF1055" s="7" t="s">
        <v>40</v>
      </c>
      <c r="AG1055" s="7" t="s">
        <v>925</v>
      </c>
      <c r="AH1055" s="7"/>
      <c r="AI1055" s="7"/>
      <c r="AJ1055" s="7"/>
      <c r="AK1055" s="7"/>
      <c r="AL1055" s="9"/>
      <c r="AM1055" s="7" t="s">
        <v>650</v>
      </c>
      <c r="AN1055" s="7" t="s">
        <v>2848</v>
      </c>
      <c r="AO1055" s="12"/>
    </row>
    <row r="1056" spans="1:41" s="11" customFormat="1" x14ac:dyDescent="0.25">
      <c r="A1056" s="2">
        <v>1055</v>
      </c>
      <c r="B1056" s="7" t="s">
        <v>913</v>
      </c>
      <c r="C1056" s="7" t="s">
        <v>104</v>
      </c>
      <c r="D1056" s="7">
        <v>14</v>
      </c>
      <c r="E1056" s="7">
        <v>14</v>
      </c>
      <c r="F1056" s="8">
        <v>1</v>
      </c>
      <c r="G1056" s="8">
        <v>1</v>
      </c>
      <c r="H1056" s="7">
        <v>1</v>
      </c>
      <c r="I1056" s="7">
        <v>1</v>
      </c>
      <c r="J1056" s="9" t="s">
        <v>35</v>
      </c>
      <c r="K1056" s="7">
        <v>1</v>
      </c>
      <c r="L1056" s="7" t="s">
        <v>52</v>
      </c>
      <c r="M1056" s="7">
        <f t="shared" si="77"/>
        <v>1</v>
      </c>
      <c r="N1056" s="9" t="s">
        <v>34</v>
      </c>
      <c r="O1056" s="7">
        <v>0</v>
      </c>
      <c r="P1056" s="9" t="s">
        <v>63</v>
      </c>
      <c r="Q1056" s="7" t="s">
        <v>38</v>
      </c>
      <c r="R1056" s="7" t="s">
        <v>38</v>
      </c>
      <c r="S1056" s="7" t="s">
        <v>246</v>
      </c>
      <c r="T1056" s="7"/>
      <c r="U1056" s="7"/>
      <c r="V1056" s="7"/>
      <c r="W1056" s="7"/>
      <c r="X1056" s="7">
        <v>3</v>
      </c>
      <c r="Y1056" s="7"/>
      <c r="Z1056" s="7"/>
      <c r="AA1056" s="7"/>
      <c r="AB1056" s="7">
        <f t="shared" si="81"/>
        <v>1</v>
      </c>
      <c r="AC1056" s="7">
        <f t="shared" si="79"/>
        <v>1</v>
      </c>
      <c r="AD1056" s="7"/>
      <c r="AE1056" s="7">
        <v>1</v>
      </c>
      <c r="AF1056" s="7" t="s">
        <v>40</v>
      </c>
      <c r="AG1056" s="7"/>
      <c r="AH1056" s="7"/>
      <c r="AI1056" s="7"/>
      <c r="AJ1056" s="7"/>
      <c r="AK1056" s="7"/>
      <c r="AL1056" s="9"/>
      <c r="AM1056" s="7" t="s">
        <v>71</v>
      </c>
      <c r="AN1056" s="7" t="s">
        <v>71</v>
      </c>
      <c r="AO1056" s="12"/>
    </row>
    <row r="1057" spans="1:41" s="11" customFormat="1" ht="24" x14ac:dyDescent="0.25">
      <c r="A1057" s="2">
        <v>1056</v>
      </c>
      <c r="B1057" s="7" t="s">
        <v>913</v>
      </c>
      <c r="C1057" s="7" t="s">
        <v>78</v>
      </c>
      <c r="D1057" s="7">
        <v>7</v>
      </c>
      <c r="E1057" s="7">
        <v>7</v>
      </c>
      <c r="F1057" s="8">
        <v>1</v>
      </c>
      <c r="G1057" s="8">
        <v>1</v>
      </c>
      <c r="H1057" s="7">
        <v>1</v>
      </c>
      <c r="I1057" s="7">
        <v>1</v>
      </c>
      <c r="J1057" s="9" t="s">
        <v>35</v>
      </c>
      <c r="K1057" s="7">
        <v>1</v>
      </c>
      <c r="L1057" s="7" t="s">
        <v>52</v>
      </c>
      <c r="M1057" s="7">
        <f t="shared" si="77"/>
        <v>1</v>
      </c>
      <c r="N1057" s="9" t="s">
        <v>34</v>
      </c>
      <c r="O1057" s="7">
        <v>0</v>
      </c>
      <c r="P1057" s="9" t="s">
        <v>34</v>
      </c>
      <c r="Q1057" s="9" t="s">
        <v>38</v>
      </c>
      <c r="R1057" s="9" t="s">
        <v>38</v>
      </c>
      <c r="S1057" s="9"/>
      <c r="T1057" s="7">
        <v>5</v>
      </c>
      <c r="U1057" s="7">
        <v>5</v>
      </c>
      <c r="V1057" s="7">
        <v>150</v>
      </c>
      <c r="W1057" s="7" t="s">
        <v>239</v>
      </c>
      <c r="X1057" s="7"/>
      <c r="Y1057" s="7"/>
      <c r="Z1057" s="7"/>
      <c r="AA1057" s="7"/>
      <c r="AB1057" s="7">
        <f t="shared" si="81"/>
        <v>1.6666666666666667</v>
      </c>
      <c r="AC1057" s="7">
        <f t="shared" si="79"/>
        <v>1.6666666666666667</v>
      </c>
      <c r="AD1057" s="7"/>
      <c r="AE1057" s="7"/>
      <c r="AF1057" s="7"/>
      <c r="AG1057" s="7"/>
      <c r="AH1057" s="7"/>
      <c r="AI1057" s="7"/>
      <c r="AJ1057" s="7"/>
      <c r="AK1057" s="7"/>
      <c r="AL1057" s="9"/>
      <c r="AM1057" s="7" t="s">
        <v>716</v>
      </c>
      <c r="AN1057" s="7" t="s">
        <v>2848</v>
      </c>
      <c r="AO1057" s="12"/>
    </row>
    <row r="1058" spans="1:41" s="11" customFormat="1" x14ac:dyDescent="0.25">
      <c r="A1058" s="2">
        <v>1057</v>
      </c>
      <c r="B1058" s="7" t="s">
        <v>913</v>
      </c>
      <c r="C1058" s="7" t="s">
        <v>104</v>
      </c>
      <c r="D1058" s="7">
        <v>7</v>
      </c>
      <c r="E1058" s="7">
        <v>7</v>
      </c>
      <c r="F1058" s="8">
        <v>1</v>
      </c>
      <c r="G1058" s="8">
        <v>1</v>
      </c>
      <c r="H1058" s="7">
        <v>1</v>
      </c>
      <c r="I1058" s="7">
        <v>1</v>
      </c>
      <c r="J1058" s="9" t="s">
        <v>35</v>
      </c>
      <c r="K1058" s="7">
        <v>1</v>
      </c>
      <c r="L1058" s="7" t="s">
        <v>52</v>
      </c>
      <c r="M1058" s="7">
        <f t="shared" si="77"/>
        <v>1</v>
      </c>
      <c r="N1058" s="9" t="s">
        <v>34</v>
      </c>
      <c r="O1058" s="7">
        <v>2</v>
      </c>
      <c r="P1058" s="9" t="s">
        <v>63</v>
      </c>
      <c r="Q1058" s="7" t="s">
        <v>38</v>
      </c>
      <c r="R1058" s="7" t="s">
        <v>38</v>
      </c>
      <c r="S1058" s="10" t="s">
        <v>1521</v>
      </c>
      <c r="T1058" s="7"/>
      <c r="U1058" s="7"/>
      <c r="V1058" s="7"/>
      <c r="W1058" s="7"/>
      <c r="X1058" s="7">
        <v>3</v>
      </c>
      <c r="Y1058" s="7"/>
      <c r="Z1058" s="7"/>
      <c r="AA1058" s="7"/>
      <c r="AB1058" s="7">
        <f t="shared" si="81"/>
        <v>1</v>
      </c>
      <c r="AC1058" s="7">
        <f t="shared" si="79"/>
        <v>1</v>
      </c>
      <c r="AD1058" s="7"/>
      <c r="AE1058" s="7">
        <v>1</v>
      </c>
      <c r="AF1058" s="7" t="s">
        <v>40</v>
      </c>
      <c r="AG1058" s="7" t="s">
        <v>926</v>
      </c>
      <c r="AH1058" s="7"/>
      <c r="AI1058" s="7"/>
      <c r="AJ1058" s="7"/>
      <c r="AK1058" s="7"/>
      <c r="AL1058" s="9"/>
      <c r="AM1058" s="7" t="s">
        <v>71</v>
      </c>
      <c r="AN1058" s="7" t="s">
        <v>71</v>
      </c>
      <c r="AO1058" s="12"/>
    </row>
    <row r="1059" spans="1:41" s="11" customFormat="1" x14ac:dyDescent="0.25">
      <c r="A1059" s="2">
        <v>1058</v>
      </c>
      <c r="B1059" s="7" t="s">
        <v>913</v>
      </c>
      <c r="C1059" s="7" t="s">
        <v>927</v>
      </c>
      <c r="D1059" s="7" t="s">
        <v>928</v>
      </c>
      <c r="E1059" s="7">
        <v>14</v>
      </c>
      <c r="F1059" s="8">
        <v>3</v>
      </c>
      <c r="G1059" s="8">
        <v>3</v>
      </c>
      <c r="H1059" s="7" t="s">
        <v>97</v>
      </c>
      <c r="I1059" s="7">
        <v>3</v>
      </c>
      <c r="J1059" s="9" t="s">
        <v>35</v>
      </c>
      <c r="K1059" s="7">
        <v>2</v>
      </c>
      <c r="L1059" s="7" t="s">
        <v>52</v>
      </c>
      <c r="M1059" s="7">
        <f t="shared" si="77"/>
        <v>3</v>
      </c>
      <c r="N1059" s="9" t="s">
        <v>34</v>
      </c>
      <c r="O1059" s="7">
        <v>0</v>
      </c>
      <c r="P1059" s="9" t="s">
        <v>63</v>
      </c>
      <c r="Q1059" s="9" t="s">
        <v>38</v>
      </c>
      <c r="R1059" s="9" t="s">
        <v>38</v>
      </c>
      <c r="S1059" s="13" t="s">
        <v>929</v>
      </c>
      <c r="T1059" s="7"/>
      <c r="U1059" s="7"/>
      <c r="V1059" s="7"/>
      <c r="W1059" s="7"/>
      <c r="X1059" s="7"/>
      <c r="Y1059" s="7"/>
      <c r="Z1059" s="7"/>
      <c r="AA1059" s="7"/>
      <c r="AB1059" s="7">
        <v>0.33333333333333298</v>
      </c>
      <c r="AC1059" s="7">
        <f t="shared" si="79"/>
        <v>0.33333333333333298</v>
      </c>
      <c r="AD1059" s="7">
        <v>3</v>
      </c>
      <c r="AE1059" s="7"/>
      <c r="AF1059" s="7" t="s">
        <v>40</v>
      </c>
      <c r="AG1059" s="7" t="s">
        <v>930</v>
      </c>
      <c r="AH1059" s="7"/>
      <c r="AI1059" s="7"/>
      <c r="AJ1059" s="7"/>
      <c r="AK1059" s="7"/>
      <c r="AL1059" s="9"/>
      <c r="AM1059" s="7" t="s">
        <v>71</v>
      </c>
      <c r="AN1059" s="7" t="s">
        <v>71</v>
      </c>
      <c r="AO1059" s="12" t="s">
        <v>118</v>
      </c>
    </row>
    <row r="1060" spans="1:41" s="11" customFormat="1" x14ac:dyDescent="0.25">
      <c r="A1060" s="2">
        <v>1059</v>
      </c>
      <c r="B1060" s="7" t="s">
        <v>913</v>
      </c>
      <c r="C1060" s="7" t="s">
        <v>104</v>
      </c>
      <c r="D1060" s="7">
        <v>6</v>
      </c>
      <c r="E1060" s="7">
        <v>6</v>
      </c>
      <c r="F1060" s="8">
        <v>1</v>
      </c>
      <c r="G1060" s="8">
        <v>1</v>
      </c>
      <c r="H1060" s="7">
        <v>1</v>
      </c>
      <c r="I1060" s="7">
        <v>1</v>
      </c>
      <c r="J1060" s="9" t="s">
        <v>35</v>
      </c>
      <c r="K1060" s="7">
        <v>1</v>
      </c>
      <c r="L1060" s="7" t="s">
        <v>52</v>
      </c>
      <c r="M1060" s="7">
        <f t="shared" si="77"/>
        <v>1</v>
      </c>
      <c r="N1060" s="9" t="s">
        <v>36</v>
      </c>
      <c r="O1060" s="7">
        <v>0</v>
      </c>
      <c r="P1060" s="9" t="s">
        <v>33</v>
      </c>
      <c r="Q1060" s="7" t="s">
        <v>38</v>
      </c>
      <c r="R1060" s="7" t="s">
        <v>38</v>
      </c>
      <c r="S1060" s="13" t="s">
        <v>2036</v>
      </c>
      <c r="T1060" s="7"/>
      <c r="U1060" s="7"/>
      <c r="V1060" s="7"/>
      <c r="W1060" s="7"/>
      <c r="X1060" s="7">
        <v>3</v>
      </c>
      <c r="Y1060" s="7"/>
      <c r="Z1060" s="7"/>
      <c r="AA1060" s="7"/>
      <c r="AB1060" s="7">
        <f>(U1060+X1060+Z1060)/3</f>
        <v>1</v>
      </c>
      <c r="AC1060" s="7">
        <f t="shared" si="79"/>
        <v>1</v>
      </c>
      <c r="AD1060" s="7"/>
      <c r="AE1060" s="7">
        <v>1</v>
      </c>
      <c r="AF1060" s="7" t="s">
        <v>40</v>
      </c>
      <c r="AG1060" s="7" t="s">
        <v>745</v>
      </c>
      <c r="AH1060" s="7"/>
      <c r="AI1060" s="7"/>
      <c r="AJ1060" s="7"/>
      <c r="AK1060" s="7"/>
      <c r="AL1060" s="9"/>
      <c r="AM1060" s="7" t="s">
        <v>71</v>
      </c>
      <c r="AN1060" s="7" t="s">
        <v>71</v>
      </c>
      <c r="AO1060" s="12"/>
    </row>
    <row r="1061" spans="1:41" s="11" customFormat="1" ht="24" x14ac:dyDescent="0.25">
      <c r="A1061" s="2">
        <v>1060</v>
      </c>
      <c r="B1061" s="7" t="s">
        <v>913</v>
      </c>
      <c r="C1061" s="7" t="s">
        <v>115</v>
      </c>
      <c r="D1061" s="7" t="s">
        <v>203</v>
      </c>
      <c r="E1061" s="7">
        <v>6</v>
      </c>
      <c r="F1061" s="8">
        <v>2</v>
      </c>
      <c r="G1061" s="8">
        <v>2</v>
      </c>
      <c r="H1061" s="7" t="s">
        <v>87</v>
      </c>
      <c r="I1061" s="7">
        <v>2</v>
      </c>
      <c r="J1061" s="9" t="s">
        <v>35</v>
      </c>
      <c r="K1061" s="7">
        <v>2</v>
      </c>
      <c r="L1061" s="7" t="s">
        <v>52</v>
      </c>
      <c r="M1061" s="7">
        <f t="shared" si="77"/>
        <v>2</v>
      </c>
      <c r="N1061" s="9" t="s">
        <v>34</v>
      </c>
      <c r="O1061" s="7">
        <v>0</v>
      </c>
      <c r="P1061" s="9" t="s">
        <v>63</v>
      </c>
      <c r="Q1061" s="9"/>
      <c r="R1061" s="9" t="s">
        <v>38</v>
      </c>
      <c r="S1061" s="13" t="s">
        <v>2037</v>
      </c>
      <c r="T1061" s="7"/>
      <c r="U1061" s="7"/>
      <c r="V1061" s="7"/>
      <c r="W1061" s="7"/>
      <c r="X1061" s="7"/>
      <c r="Y1061" s="7"/>
      <c r="Z1061" s="7"/>
      <c r="AA1061" s="7"/>
      <c r="AB1061" s="7">
        <v>0.33333333333333298</v>
      </c>
      <c r="AC1061" s="7">
        <f t="shared" si="79"/>
        <v>0.33333333333333298</v>
      </c>
      <c r="AD1061" s="7">
        <v>2</v>
      </c>
      <c r="AE1061" s="7"/>
      <c r="AF1061" s="7" t="s">
        <v>40</v>
      </c>
      <c r="AG1061" s="7" t="s">
        <v>931</v>
      </c>
      <c r="AH1061" s="7" t="s">
        <v>451</v>
      </c>
      <c r="AI1061" s="7"/>
      <c r="AJ1061" s="7"/>
      <c r="AK1061" s="7"/>
      <c r="AL1061" s="9"/>
      <c r="AM1061" s="7" t="s">
        <v>71</v>
      </c>
      <c r="AN1061" s="7" t="s">
        <v>71</v>
      </c>
      <c r="AO1061" s="12" t="s">
        <v>118</v>
      </c>
    </row>
    <row r="1062" spans="1:41" s="11" customFormat="1" x14ac:dyDescent="0.25">
      <c r="A1062" s="2">
        <v>1061</v>
      </c>
      <c r="B1062" s="7" t="s">
        <v>913</v>
      </c>
      <c r="C1062" s="7" t="s">
        <v>89</v>
      </c>
      <c r="D1062" s="7" t="s">
        <v>932</v>
      </c>
      <c r="E1062" s="7">
        <v>32</v>
      </c>
      <c r="F1062" s="8">
        <v>1</v>
      </c>
      <c r="G1062" s="8">
        <v>2</v>
      </c>
      <c r="H1062" s="7">
        <v>2</v>
      </c>
      <c r="I1062" s="7">
        <v>2</v>
      </c>
      <c r="J1062" s="9" t="s">
        <v>70</v>
      </c>
      <c r="K1062" s="7">
        <v>1</v>
      </c>
      <c r="L1062" s="7" t="s">
        <v>52</v>
      </c>
      <c r="M1062" s="7">
        <f t="shared" si="77"/>
        <v>1</v>
      </c>
      <c r="N1062" s="9" t="s">
        <v>36</v>
      </c>
      <c r="O1062" s="7">
        <v>0</v>
      </c>
      <c r="P1062" s="9" t="s">
        <v>33</v>
      </c>
      <c r="Q1062" s="7" t="s">
        <v>52</v>
      </c>
      <c r="R1062" s="7" t="s">
        <v>38</v>
      </c>
      <c r="S1062" s="10" t="s">
        <v>1754</v>
      </c>
      <c r="T1062" s="7"/>
      <c r="U1062" s="7"/>
      <c r="V1062" s="7"/>
      <c r="W1062" s="7"/>
      <c r="X1062" s="7">
        <v>3</v>
      </c>
      <c r="Y1062" s="7"/>
      <c r="Z1062" s="7"/>
      <c r="AA1062" s="7"/>
      <c r="AB1062" s="7">
        <f t="shared" ref="AB1062:AB1077" si="82">(U1062+X1062+Z1062)/3</f>
        <v>1</v>
      </c>
      <c r="AC1062" s="7">
        <f t="shared" si="79"/>
        <v>1</v>
      </c>
      <c r="AD1062" s="7"/>
      <c r="AE1062" s="7"/>
      <c r="AF1062" s="7"/>
      <c r="AG1062" s="7"/>
      <c r="AH1062" s="7"/>
      <c r="AI1062" s="7"/>
      <c r="AJ1062" s="10" t="s">
        <v>2361</v>
      </c>
      <c r="AK1062" s="7"/>
      <c r="AL1062" s="9"/>
      <c r="AM1062" s="7" t="s">
        <v>71</v>
      </c>
      <c r="AN1062" s="7" t="s">
        <v>71</v>
      </c>
      <c r="AO1062" s="7"/>
    </row>
    <row r="1063" spans="1:41" s="11" customFormat="1" x14ac:dyDescent="0.25">
      <c r="A1063" s="2">
        <v>1062</v>
      </c>
      <c r="B1063" s="7" t="s">
        <v>913</v>
      </c>
      <c r="C1063" s="7" t="s">
        <v>89</v>
      </c>
      <c r="D1063" s="7" t="s">
        <v>933</v>
      </c>
      <c r="E1063" s="7">
        <v>11</v>
      </c>
      <c r="F1063" s="8">
        <v>2</v>
      </c>
      <c r="G1063" s="8">
        <v>2</v>
      </c>
      <c r="H1063" s="7" t="s">
        <v>87</v>
      </c>
      <c r="I1063" s="7">
        <v>2</v>
      </c>
      <c r="J1063" s="9" t="s">
        <v>35</v>
      </c>
      <c r="K1063" s="7">
        <v>1</v>
      </c>
      <c r="L1063" s="7" t="s">
        <v>52</v>
      </c>
      <c r="M1063" s="7">
        <f t="shared" si="77"/>
        <v>2</v>
      </c>
      <c r="N1063" s="9"/>
      <c r="O1063" s="7"/>
      <c r="P1063" s="9"/>
      <c r="Q1063" s="7"/>
      <c r="R1063" s="7"/>
      <c r="S1063" s="7"/>
      <c r="T1063" s="7"/>
      <c r="U1063" s="7"/>
      <c r="V1063" s="7"/>
      <c r="W1063" s="7"/>
      <c r="X1063" s="7">
        <v>3</v>
      </c>
      <c r="Y1063" s="7"/>
      <c r="Z1063" s="7"/>
      <c r="AA1063" s="7"/>
      <c r="AB1063" s="7">
        <f t="shared" si="82"/>
        <v>1</v>
      </c>
      <c r="AC1063" s="7">
        <f t="shared" si="79"/>
        <v>1</v>
      </c>
      <c r="AD1063" s="7"/>
      <c r="AE1063" s="7"/>
      <c r="AF1063" s="7"/>
      <c r="AG1063" s="7"/>
      <c r="AH1063" s="7"/>
      <c r="AI1063" s="7"/>
      <c r="AJ1063" s="7"/>
      <c r="AK1063" s="7"/>
      <c r="AL1063" s="9"/>
      <c r="AM1063" s="7" t="s">
        <v>71</v>
      </c>
      <c r="AN1063" s="7" t="s">
        <v>71</v>
      </c>
      <c r="AO1063" s="12"/>
    </row>
    <row r="1064" spans="1:41" s="11" customFormat="1" x14ac:dyDescent="0.25">
      <c r="A1064" s="2">
        <v>1063</v>
      </c>
      <c r="B1064" s="7" t="s">
        <v>913</v>
      </c>
      <c r="C1064" s="7" t="s">
        <v>89</v>
      </c>
      <c r="D1064" s="7" t="s">
        <v>934</v>
      </c>
      <c r="E1064" s="7">
        <f>19+17+9+8+8+6+1</f>
        <v>68</v>
      </c>
      <c r="F1064" s="8">
        <v>10</v>
      </c>
      <c r="G1064" s="8">
        <v>12</v>
      </c>
      <c r="H1064" s="7" t="s">
        <v>935</v>
      </c>
      <c r="I1064" s="7">
        <v>12</v>
      </c>
      <c r="J1064" s="9" t="s">
        <v>35</v>
      </c>
      <c r="K1064" s="7">
        <v>2</v>
      </c>
      <c r="L1064" s="7" t="s">
        <v>52</v>
      </c>
      <c r="M1064" s="7">
        <f t="shared" si="77"/>
        <v>10</v>
      </c>
      <c r="N1064" s="9"/>
      <c r="O1064" s="7"/>
      <c r="P1064" s="9"/>
      <c r="Q1064" s="7"/>
      <c r="R1064" s="7"/>
      <c r="S1064" s="7"/>
      <c r="T1064" s="7"/>
      <c r="U1064" s="7"/>
      <c r="V1064" s="7"/>
      <c r="W1064" s="7"/>
      <c r="X1064" s="7">
        <v>3</v>
      </c>
      <c r="Y1064" s="7"/>
      <c r="Z1064" s="7"/>
      <c r="AA1064" s="7"/>
      <c r="AB1064" s="7">
        <f t="shared" si="82"/>
        <v>1</v>
      </c>
      <c r="AC1064" s="7">
        <f t="shared" si="79"/>
        <v>1</v>
      </c>
      <c r="AD1064" s="7"/>
      <c r="AE1064" s="7"/>
      <c r="AF1064" s="7"/>
      <c r="AG1064" s="7"/>
      <c r="AH1064" s="7"/>
      <c r="AI1064" s="7"/>
      <c r="AJ1064" s="7"/>
      <c r="AK1064" s="7"/>
      <c r="AL1064" s="9"/>
      <c r="AM1064" s="7" t="s">
        <v>71</v>
      </c>
      <c r="AN1064" s="7" t="s">
        <v>71</v>
      </c>
      <c r="AO1064" s="12"/>
    </row>
    <row r="1065" spans="1:41" s="11" customFormat="1" x14ac:dyDescent="0.25">
      <c r="A1065" s="2">
        <v>1064</v>
      </c>
      <c r="B1065" s="7" t="s">
        <v>913</v>
      </c>
      <c r="C1065" s="7" t="s">
        <v>119</v>
      </c>
      <c r="D1065" s="7">
        <v>164</v>
      </c>
      <c r="E1065" s="7">
        <v>164</v>
      </c>
      <c r="F1065" s="8">
        <v>1</v>
      </c>
      <c r="G1065" s="8">
        <v>1</v>
      </c>
      <c r="H1065" s="7">
        <v>1</v>
      </c>
      <c r="I1065" s="7">
        <v>1</v>
      </c>
      <c r="J1065" s="9" t="s">
        <v>353</v>
      </c>
      <c r="K1065" s="7"/>
      <c r="L1065" s="7" t="s">
        <v>38</v>
      </c>
      <c r="M1065" s="7">
        <f t="shared" si="77"/>
        <v>0</v>
      </c>
      <c r="N1065" s="9" t="s">
        <v>82</v>
      </c>
      <c r="O1065" s="7">
        <v>0</v>
      </c>
      <c r="P1065" s="9" t="s">
        <v>36</v>
      </c>
      <c r="Q1065" s="7" t="s">
        <v>38</v>
      </c>
      <c r="R1065" s="7" t="s">
        <v>38</v>
      </c>
      <c r="S1065" s="13" t="s">
        <v>2038</v>
      </c>
      <c r="T1065" s="7"/>
      <c r="U1065" s="7"/>
      <c r="V1065" s="7"/>
      <c r="W1065" s="7"/>
      <c r="X1065" s="7">
        <v>3</v>
      </c>
      <c r="Y1065" s="7"/>
      <c r="Z1065" s="7"/>
      <c r="AA1065" s="7"/>
      <c r="AB1065" s="7">
        <f t="shared" si="82"/>
        <v>1</v>
      </c>
      <c r="AC1065" s="7">
        <f t="shared" si="79"/>
        <v>0</v>
      </c>
      <c r="AD1065" s="7"/>
      <c r="AE1065" s="7">
        <v>1</v>
      </c>
      <c r="AF1065" s="7" t="s">
        <v>155</v>
      </c>
      <c r="AG1065" s="7" t="s">
        <v>936</v>
      </c>
      <c r="AH1065" s="7"/>
      <c r="AI1065" s="7"/>
      <c r="AJ1065" s="7"/>
      <c r="AK1065" s="7"/>
      <c r="AL1065" s="9"/>
      <c r="AM1065" s="7" t="s">
        <v>71</v>
      </c>
      <c r="AN1065" s="7" t="s">
        <v>71</v>
      </c>
      <c r="AO1065" s="12"/>
    </row>
    <row r="1066" spans="1:41" s="11" customFormat="1" x14ac:dyDescent="0.25">
      <c r="A1066" s="2">
        <v>1065</v>
      </c>
      <c r="B1066" s="7" t="s">
        <v>913</v>
      </c>
      <c r="C1066" s="7" t="s">
        <v>50</v>
      </c>
      <c r="D1066" s="7">
        <v>155</v>
      </c>
      <c r="E1066" s="7">
        <v>155</v>
      </c>
      <c r="F1066" s="8">
        <v>1</v>
      </c>
      <c r="G1066" s="8">
        <v>1</v>
      </c>
      <c r="H1066" s="7">
        <v>1</v>
      </c>
      <c r="I1066" s="7">
        <v>1</v>
      </c>
      <c r="J1066" s="9" t="s">
        <v>353</v>
      </c>
      <c r="K1066" s="7"/>
      <c r="L1066" s="7" t="s">
        <v>38</v>
      </c>
      <c r="M1066" s="7">
        <f t="shared" si="77"/>
        <v>0</v>
      </c>
      <c r="N1066" s="9" t="s">
        <v>82</v>
      </c>
      <c r="O1066" s="7">
        <v>0</v>
      </c>
      <c r="P1066" s="9" t="s">
        <v>36</v>
      </c>
      <c r="Q1066" s="7" t="s">
        <v>38</v>
      </c>
      <c r="R1066" s="7" t="s">
        <v>38</v>
      </c>
      <c r="S1066" s="13" t="s">
        <v>2039</v>
      </c>
      <c r="T1066" s="7"/>
      <c r="U1066" s="7"/>
      <c r="V1066" s="7"/>
      <c r="W1066" s="7"/>
      <c r="X1066" s="7"/>
      <c r="Y1066" s="7">
        <v>10</v>
      </c>
      <c r="Z1066" s="7">
        <v>10</v>
      </c>
      <c r="AA1066" s="7">
        <v>240</v>
      </c>
      <c r="AB1066" s="7">
        <f t="shared" si="82"/>
        <v>3.3333333333333335</v>
      </c>
      <c r="AC1066" s="7">
        <f t="shared" si="79"/>
        <v>0</v>
      </c>
      <c r="AD1066" s="7"/>
      <c r="AE1066" s="7"/>
      <c r="AF1066" s="7"/>
      <c r="AG1066" s="7"/>
      <c r="AH1066" s="7"/>
      <c r="AI1066" s="7"/>
      <c r="AJ1066" s="10" t="s">
        <v>2387</v>
      </c>
      <c r="AK1066" s="7"/>
      <c r="AL1066" s="9"/>
      <c r="AM1066" s="7" t="s">
        <v>71</v>
      </c>
      <c r="AN1066" s="7" t="s">
        <v>71</v>
      </c>
      <c r="AO1066" s="12"/>
    </row>
    <row r="1067" spans="1:41" s="11" customFormat="1" x14ac:dyDescent="0.25">
      <c r="A1067" s="2">
        <v>1066</v>
      </c>
      <c r="B1067" s="7" t="s">
        <v>913</v>
      </c>
      <c r="C1067" s="7" t="s">
        <v>89</v>
      </c>
      <c r="D1067" s="7" t="s">
        <v>937</v>
      </c>
      <c r="E1067" s="7">
        <v>65</v>
      </c>
      <c r="F1067" s="8">
        <v>3</v>
      </c>
      <c r="G1067" s="8">
        <v>3</v>
      </c>
      <c r="H1067" s="7" t="s">
        <v>97</v>
      </c>
      <c r="I1067" s="7">
        <v>3</v>
      </c>
      <c r="J1067" s="9" t="s">
        <v>353</v>
      </c>
      <c r="K1067" s="7"/>
      <c r="L1067" s="7" t="s">
        <v>38</v>
      </c>
      <c r="M1067" s="7">
        <f t="shared" si="77"/>
        <v>0</v>
      </c>
      <c r="N1067" s="9"/>
      <c r="O1067" s="7"/>
      <c r="P1067" s="9"/>
      <c r="Q1067" s="7"/>
      <c r="R1067" s="7"/>
      <c r="S1067" s="7"/>
      <c r="T1067" s="7"/>
      <c r="U1067" s="7"/>
      <c r="V1067" s="7"/>
      <c r="W1067" s="7"/>
      <c r="X1067" s="7">
        <v>3</v>
      </c>
      <c r="Y1067" s="7"/>
      <c r="Z1067" s="7"/>
      <c r="AA1067" s="7"/>
      <c r="AB1067" s="7">
        <f t="shared" si="82"/>
        <v>1</v>
      </c>
      <c r="AC1067" s="7">
        <f t="shared" si="79"/>
        <v>0</v>
      </c>
      <c r="AD1067" s="7"/>
      <c r="AE1067" s="7"/>
      <c r="AF1067" s="7"/>
      <c r="AG1067" s="7"/>
      <c r="AH1067" s="7"/>
      <c r="AI1067" s="7"/>
      <c r="AJ1067" s="7"/>
      <c r="AK1067" s="7"/>
      <c r="AL1067" s="9"/>
      <c r="AM1067" s="7" t="s">
        <v>71</v>
      </c>
      <c r="AN1067" s="7" t="s">
        <v>71</v>
      </c>
      <c r="AO1067" s="15" t="s">
        <v>2595</v>
      </c>
    </row>
    <row r="1068" spans="1:41" s="11" customFormat="1" ht="24" x14ac:dyDescent="0.25">
      <c r="A1068" s="2">
        <v>1067</v>
      </c>
      <c r="B1068" s="7" t="s">
        <v>913</v>
      </c>
      <c r="C1068" s="7" t="s">
        <v>107</v>
      </c>
      <c r="D1068" s="7" t="s">
        <v>938</v>
      </c>
      <c r="E1068" s="7">
        <f>44+34+27+21+4</f>
        <v>130</v>
      </c>
      <c r="F1068" s="8">
        <v>1</v>
      </c>
      <c r="G1068" s="8">
        <v>5</v>
      </c>
      <c r="H1068" s="7" t="s">
        <v>465</v>
      </c>
      <c r="I1068" s="7">
        <v>5</v>
      </c>
      <c r="J1068" s="9" t="s">
        <v>219</v>
      </c>
      <c r="K1068" s="7">
        <v>1</v>
      </c>
      <c r="L1068" s="7" t="s">
        <v>52</v>
      </c>
      <c r="M1068" s="7">
        <f t="shared" si="77"/>
        <v>1</v>
      </c>
      <c r="N1068" s="9" t="s">
        <v>82</v>
      </c>
      <c r="O1068" s="7">
        <v>0</v>
      </c>
      <c r="P1068" s="9" t="s">
        <v>34</v>
      </c>
      <c r="Q1068" s="7" t="s">
        <v>38</v>
      </c>
      <c r="R1068" s="7" t="s">
        <v>52</v>
      </c>
      <c r="S1068" s="10" t="s">
        <v>2040</v>
      </c>
      <c r="T1068" s="7"/>
      <c r="U1068" s="7"/>
      <c r="V1068" s="7"/>
      <c r="W1068" s="7"/>
      <c r="X1068" s="7"/>
      <c r="Y1068" s="7">
        <v>10</v>
      </c>
      <c r="Z1068" s="7">
        <v>10</v>
      </c>
      <c r="AA1068" s="7">
        <v>180</v>
      </c>
      <c r="AB1068" s="7">
        <f t="shared" si="82"/>
        <v>3.3333333333333335</v>
      </c>
      <c r="AC1068" s="7">
        <f t="shared" si="79"/>
        <v>3.3333333333333335</v>
      </c>
      <c r="AD1068" s="7"/>
      <c r="AE1068" s="7"/>
      <c r="AF1068" s="7"/>
      <c r="AG1068" s="7"/>
      <c r="AH1068" s="7"/>
      <c r="AI1068" s="7"/>
      <c r="AJ1068" s="7"/>
      <c r="AK1068" s="7"/>
      <c r="AL1068" s="9"/>
      <c r="AM1068" s="7" t="s">
        <v>636</v>
      </c>
      <c r="AN1068" s="7" t="s">
        <v>662</v>
      </c>
      <c r="AO1068" s="12"/>
    </row>
    <row r="1069" spans="1:41" s="11" customFormat="1" ht="24" x14ac:dyDescent="0.25">
      <c r="A1069" s="2">
        <v>1068</v>
      </c>
      <c r="B1069" s="7" t="s">
        <v>913</v>
      </c>
      <c r="C1069" s="7" t="s">
        <v>107</v>
      </c>
      <c r="D1069" s="7" t="s">
        <v>1480</v>
      </c>
      <c r="E1069" s="7">
        <f>39+38+27+24+23+36+15+11</f>
        <v>213</v>
      </c>
      <c r="F1069" s="8">
        <v>1</v>
      </c>
      <c r="G1069" s="8">
        <v>9</v>
      </c>
      <c r="H1069" s="7" t="s">
        <v>939</v>
      </c>
      <c r="I1069" s="7">
        <v>9</v>
      </c>
      <c r="J1069" s="9" t="s">
        <v>219</v>
      </c>
      <c r="K1069" s="7">
        <v>2</v>
      </c>
      <c r="L1069" s="7" t="s">
        <v>52</v>
      </c>
      <c r="M1069" s="7">
        <f t="shared" si="77"/>
        <v>1</v>
      </c>
      <c r="N1069" s="9" t="s">
        <v>82</v>
      </c>
      <c r="O1069" s="7">
        <v>0</v>
      </c>
      <c r="P1069" s="9" t="s">
        <v>36</v>
      </c>
      <c r="Q1069" s="7" t="s">
        <v>38</v>
      </c>
      <c r="R1069" s="7" t="s">
        <v>38</v>
      </c>
      <c r="S1069" s="10" t="s">
        <v>2041</v>
      </c>
      <c r="T1069" s="7"/>
      <c r="U1069" s="7"/>
      <c r="V1069" s="7"/>
      <c r="W1069" s="7"/>
      <c r="X1069" s="7">
        <v>3</v>
      </c>
      <c r="Y1069" s="7" t="s">
        <v>924</v>
      </c>
      <c r="Z1069" s="7">
        <v>17</v>
      </c>
      <c r="AA1069" s="7" t="s">
        <v>542</v>
      </c>
      <c r="AB1069" s="7">
        <f t="shared" si="82"/>
        <v>6.666666666666667</v>
      </c>
      <c r="AC1069" s="7">
        <f t="shared" si="79"/>
        <v>6.666666666666667</v>
      </c>
      <c r="AD1069" s="7"/>
      <c r="AE1069" s="7"/>
      <c r="AF1069" s="7"/>
      <c r="AG1069" s="7"/>
      <c r="AH1069" s="7"/>
      <c r="AI1069" s="7"/>
      <c r="AJ1069" s="7"/>
      <c r="AK1069" s="7"/>
      <c r="AL1069" s="9"/>
      <c r="AM1069" s="7" t="s">
        <v>636</v>
      </c>
      <c r="AN1069" s="7" t="s">
        <v>662</v>
      </c>
      <c r="AO1069" s="12"/>
    </row>
    <row r="1070" spans="1:41" s="11" customFormat="1" x14ac:dyDescent="0.25">
      <c r="A1070" s="2">
        <v>1069</v>
      </c>
      <c r="B1070" s="7" t="s">
        <v>913</v>
      </c>
      <c r="C1070" s="7" t="s">
        <v>89</v>
      </c>
      <c r="D1070" s="7" t="s">
        <v>940</v>
      </c>
      <c r="E1070" s="7">
        <v>30</v>
      </c>
      <c r="F1070" s="8">
        <v>1</v>
      </c>
      <c r="G1070" s="8">
        <v>2</v>
      </c>
      <c r="H1070" s="7" t="s">
        <v>87</v>
      </c>
      <c r="I1070" s="7">
        <v>2</v>
      </c>
      <c r="J1070" s="9" t="s">
        <v>219</v>
      </c>
      <c r="K1070" s="7">
        <v>1</v>
      </c>
      <c r="L1070" s="7" t="s">
        <v>52</v>
      </c>
      <c r="M1070" s="7">
        <f t="shared" si="77"/>
        <v>1</v>
      </c>
      <c r="N1070" s="9"/>
      <c r="O1070" s="7"/>
      <c r="P1070" s="9"/>
      <c r="Q1070" s="7"/>
      <c r="R1070" s="7"/>
      <c r="S1070" s="7"/>
      <c r="T1070" s="7"/>
      <c r="U1070" s="7"/>
      <c r="V1070" s="7"/>
      <c r="W1070" s="7"/>
      <c r="X1070" s="7">
        <v>3</v>
      </c>
      <c r="Y1070" s="7"/>
      <c r="Z1070" s="7"/>
      <c r="AA1070" s="7"/>
      <c r="AB1070" s="7">
        <f t="shared" si="82"/>
        <v>1</v>
      </c>
      <c r="AC1070" s="7">
        <f t="shared" si="79"/>
        <v>1</v>
      </c>
      <c r="AD1070" s="7"/>
      <c r="AE1070" s="7"/>
      <c r="AF1070" s="7"/>
      <c r="AG1070" s="7"/>
      <c r="AH1070" s="7"/>
      <c r="AI1070" s="7"/>
      <c r="AJ1070" s="7"/>
      <c r="AK1070" s="7"/>
      <c r="AL1070" s="9"/>
      <c r="AM1070" s="7" t="s">
        <v>71</v>
      </c>
      <c r="AN1070" s="7" t="s">
        <v>71</v>
      </c>
      <c r="AO1070" s="12"/>
    </row>
    <row r="1071" spans="1:41" s="11" customFormat="1" x14ac:dyDescent="0.25">
      <c r="A1071" s="2">
        <v>1070</v>
      </c>
      <c r="B1071" s="7" t="s">
        <v>913</v>
      </c>
      <c r="C1071" s="7" t="s">
        <v>50</v>
      </c>
      <c r="D1071" s="7">
        <v>31</v>
      </c>
      <c r="E1071" s="7">
        <v>31</v>
      </c>
      <c r="F1071" s="8">
        <v>1</v>
      </c>
      <c r="G1071" s="8">
        <v>1</v>
      </c>
      <c r="H1071" s="7">
        <v>1</v>
      </c>
      <c r="I1071" s="7">
        <v>1</v>
      </c>
      <c r="J1071" s="9" t="s">
        <v>219</v>
      </c>
      <c r="K1071" s="7">
        <v>6</v>
      </c>
      <c r="L1071" s="7" t="s">
        <v>52</v>
      </c>
      <c r="M1071" s="7">
        <f t="shared" si="77"/>
        <v>1</v>
      </c>
      <c r="N1071" s="9" t="s">
        <v>125</v>
      </c>
      <c r="O1071" s="7">
        <v>0</v>
      </c>
      <c r="P1071" s="9" t="s">
        <v>37</v>
      </c>
      <c r="Q1071" s="7" t="s">
        <v>38</v>
      </c>
      <c r="R1071" s="7" t="s">
        <v>52</v>
      </c>
      <c r="S1071" s="10" t="s">
        <v>2042</v>
      </c>
      <c r="T1071" s="7"/>
      <c r="U1071" s="7"/>
      <c r="V1071" s="7"/>
      <c r="W1071" s="7"/>
      <c r="X1071" s="7"/>
      <c r="Y1071" s="7">
        <v>5</v>
      </c>
      <c r="Z1071" s="7">
        <v>5</v>
      </c>
      <c r="AA1071" s="7" t="s">
        <v>483</v>
      </c>
      <c r="AB1071" s="7">
        <f t="shared" si="82"/>
        <v>1.6666666666666667</v>
      </c>
      <c r="AC1071" s="7">
        <f t="shared" si="79"/>
        <v>1.6666666666666667</v>
      </c>
      <c r="AD1071" s="7"/>
      <c r="AE1071" s="7"/>
      <c r="AF1071" s="7"/>
      <c r="AG1071" s="7"/>
      <c r="AH1071" s="7"/>
      <c r="AI1071" s="7"/>
      <c r="AJ1071" s="7"/>
      <c r="AK1071" s="7"/>
      <c r="AL1071" s="9"/>
      <c r="AM1071" s="7" t="s">
        <v>71</v>
      </c>
      <c r="AN1071" s="7" t="s">
        <v>71</v>
      </c>
      <c r="AO1071" s="12"/>
    </row>
    <row r="1072" spans="1:41" s="11" customFormat="1" x14ac:dyDescent="0.25">
      <c r="A1072" s="2">
        <v>1071</v>
      </c>
      <c r="B1072" s="7" t="s">
        <v>913</v>
      </c>
      <c r="C1072" s="7" t="s">
        <v>104</v>
      </c>
      <c r="D1072" s="7">
        <v>8</v>
      </c>
      <c r="E1072" s="7">
        <v>8</v>
      </c>
      <c r="F1072" s="8">
        <v>1</v>
      </c>
      <c r="G1072" s="8">
        <v>1</v>
      </c>
      <c r="H1072" s="7">
        <v>1</v>
      </c>
      <c r="I1072" s="7">
        <v>1</v>
      </c>
      <c r="J1072" s="9" t="s">
        <v>219</v>
      </c>
      <c r="K1072" s="7">
        <v>6</v>
      </c>
      <c r="L1072" s="7" t="s">
        <v>52</v>
      </c>
      <c r="M1072" s="7">
        <f t="shared" si="77"/>
        <v>1</v>
      </c>
      <c r="N1072" s="9"/>
      <c r="O1072" s="7"/>
      <c r="P1072" s="9"/>
      <c r="Q1072" s="7" t="s">
        <v>52</v>
      </c>
      <c r="R1072" s="7" t="s">
        <v>52</v>
      </c>
      <c r="S1072" s="7"/>
      <c r="T1072" s="7"/>
      <c r="U1072" s="7"/>
      <c r="V1072" s="7"/>
      <c r="W1072" s="7"/>
      <c r="X1072" s="7">
        <v>3</v>
      </c>
      <c r="Y1072" s="7"/>
      <c r="Z1072" s="7"/>
      <c r="AA1072" s="7"/>
      <c r="AB1072" s="7">
        <f t="shared" si="82"/>
        <v>1</v>
      </c>
      <c r="AC1072" s="7">
        <f t="shared" si="79"/>
        <v>1</v>
      </c>
      <c r="AD1072" s="7"/>
      <c r="AE1072" s="7">
        <v>1</v>
      </c>
      <c r="AF1072" s="7"/>
      <c r="AG1072" s="7" t="s">
        <v>941</v>
      </c>
      <c r="AH1072" s="7"/>
      <c r="AI1072" s="7"/>
      <c r="AJ1072" s="7"/>
      <c r="AK1072" s="7"/>
      <c r="AL1072" s="9"/>
      <c r="AM1072" s="7" t="s">
        <v>71</v>
      </c>
      <c r="AN1072" s="7" t="s">
        <v>71</v>
      </c>
      <c r="AO1072" s="12"/>
    </row>
    <row r="1073" spans="1:41" s="11" customFormat="1" x14ac:dyDescent="0.25">
      <c r="A1073" s="2">
        <v>1072</v>
      </c>
      <c r="B1073" s="7" t="s">
        <v>913</v>
      </c>
      <c r="C1073" s="7" t="s">
        <v>100</v>
      </c>
      <c r="D1073" s="7">
        <v>15</v>
      </c>
      <c r="E1073" s="7">
        <v>15</v>
      </c>
      <c r="F1073" s="8">
        <v>1</v>
      </c>
      <c r="G1073" s="8">
        <v>1</v>
      </c>
      <c r="H1073" s="7">
        <v>1</v>
      </c>
      <c r="I1073" s="7">
        <v>1</v>
      </c>
      <c r="J1073" s="9" t="s">
        <v>219</v>
      </c>
      <c r="K1073" s="7">
        <v>6</v>
      </c>
      <c r="L1073" s="7" t="s">
        <v>52</v>
      </c>
      <c r="M1073" s="7">
        <f t="shared" si="77"/>
        <v>1</v>
      </c>
      <c r="N1073" s="9"/>
      <c r="O1073" s="7"/>
      <c r="P1073" s="9"/>
      <c r="Q1073" s="7"/>
      <c r="R1073" s="7"/>
      <c r="S1073" s="7"/>
      <c r="T1073" s="7"/>
      <c r="U1073" s="7"/>
      <c r="V1073" s="7"/>
      <c r="W1073" s="7"/>
      <c r="X1073" s="7">
        <v>3</v>
      </c>
      <c r="Y1073" s="7"/>
      <c r="Z1073" s="7"/>
      <c r="AA1073" s="7"/>
      <c r="AB1073" s="7">
        <f t="shared" si="82"/>
        <v>1</v>
      </c>
      <c r="AC1073" s="7">
        <f t="shared" si="79"/>
        <v>1</v>
      </c>
      <c r="AD1073" s="7"/>
      <c r="AE1073" s="7"/>
      <c r="AF1073" s="7"/>
      <c r="AG1073" s="7"/>
      <c r="AH1073" s="7"/>
      <c r="AI1073" s="7"/>
      <c r="AJ1073" s="7"/>
      <c r="AK1073" s="7"/>
      <c r="AL1073" s="9"/>
      <c r="AM1073" s="7" t="s">
        <v>71</v>
      </c>
      <c r="AN1073" s="7" t="s">
        <v>71</v>
      </c>
      <c r="AO1073" s="12"/>
    </row>
    <row r="1074" spans="1:41" s="11" customFormat="1" ht="24" x14ac:dyDescent="0.25">
      <c r="A1074" s="2">
        <v>1073</v>
      </c>
      <c r="B1074" s="7" t="s">
        <v>913</v>
      </c>
      <c r="C1074" s="7" t="s">
        <v>942</v>
      </c>
      <c r="D1074" s="7" t="s">
        <v>943</v>
      </c>
      <c r="E1074" s="7">
        <f>25+9+5+1</f>
        <v>40</v>
      </c>
      <c r="F1074" s="8">
        <v>1</v>
      </c>
      <c r="G1074" s="8">
        <v>8</v>
      </c>
      <c r="H1074" s="7" t="s">
        <v>944</v>
      </c>
      <c r="I1074" s="7">
        <v>8</v>
      </c>
      <c r="J1074" s="9" t="s">
        <v>176</v>
      </c>
      <c r="K1074" s="7">
        <v>1</v>
      </c>
      <c r="L1074" s="7" t="s">
        <v>52</v>
      </c>
      <c r="M1074" s="7">
        <f t="shared" si="77"/>
        <v>1</v>
      </c>
      <c r="N1074" s="9" t="s">
        <v>177</v>
      </c>
      <c r="O1074" s="7">
        <v>0</v>
      </c>
      <c r="P1074" s="9" t="s">
        <v>63</v>
      </c>
      <c r="Q1074" s="7" t="s">
        <v>38</v>
      </c>
      <c r="R1074" s="7" t="s">
        <v>38</v>
      </c>
      <c r="S1074" s="10" t="s">
        <v>2043</v>
      </c>
      <c r="T1074" s="7">
        <v>22</v>
      </c>
      <c r="U1074" s="7">
        <v>22</v>
      </c>
      <c r="V1074" s="7">
        <v>55</v>
      </c>
      <c r="W1074" s="7" t="s">
        <v>79</v>
      </c>
      <c r="X1074" s="7">
        <v>15</v>
      </c>
      <c r="Y1074" s="7">
        <v>60</v>
      </c>
      <c r="Z1074" s="7">
        <v>60</v>
      </c>
      <c r="AA1074" s="7">
        <v>42</v>
      </c>
      <c r="AB1074" s="7">
        <f t="shared" si="82"/>
        <v>32.333333333333336</v>
      </c>
      <c r="AC1074" s="7">
        <f t="shared" si="79"/>
        <v>32.333333333333336</v>
      </c>
      <c r="AD1074" s="7"/>
      <c r="AE1074" s="7"/>
      <c r="AF1074" s="7"/>
      <c r="AG1074" s="7"/>
      <c r="AH1074" s="7"/>
      <c r="AI1074" s="7"/>
      <c r="AJ1074" s="7"/>
      <c r="AK1074" s="7"/>
      <c r="AL1074" s="9" t="s">
        <v>38</v>
      </c>
      <c r="AM1074" s="7" t="s">
        <v>582</v>
      </c>
      <c r="AN1074" s="7" t="s">
        <v>2851</v>
      </c>
      <c r="AO1074" s="15" t="s">
        <v>2620</v>
      </c>
    </row>
    <row r="1075" spans="1:41" s="11" customFormat="1" ht="24" x14ac:dyDescent="0.25">
      <c r="A1075" s="2">
        <v>1074</v>
      </c>
      <c r="B1075" s="7" t="s">
        <v>913</v>
      </c>
      <c r="C1075" s="7" t="s">
        <v>237</v>
      </c>
      <c r="D1075" s="7" t="s">
        <v>945</v>
      </c>
      <c r="E1075" s="7">
        <v>31</v>
      </c>
      <c r="F1075" s="8">
        <v>1</v>
      </c>
      <c r="G1075" s="8">
        <v>3</v>
      </c>
      <c r="H1075" s="7">
        <v>3</v>
      </c>
      <c r="I1075" s="7">
        <v>3</v>
      </c>
      <c r="J1075" s="9" t="s">
        <v>176</v>
      </c>
      <c r="K1075" s="7">
        <v>3</v>
      </c>
      <c r="L1075" s="7" t="s">
        <v>52</v>
      </c>
      <c r="M1075" s="7">
        <f t="shared" si="77"/>
        <v>1</v>
      </c>
      <c r="N1075" s="9" t="s">
        <v>177</v>
      </c>
      <c r="O1075" s="7">
        <v>0</v>
      </c>
      <c r="P1075" s="9" t="s">
        <v>63</v>
      </c>
      <c r="Q1075" s="7" t="s">
        <v>38</v>
      </c>
      <c r="R1075" s="7" t="s">
        <v>38</v>
      </c>
      <c r="S1075" s="10" t="s">
        <v>2044</v>
      </c>
      <c r="T1075" s="7">
        <v>35</v>
      </c>
      <c r="U1075" s="7">
        <v>35</v>
      </c>
      <c r="V1075" s="7">
        <v>65</v>
      </c>
      <c r="W1075" s="7" t="s">
        <v>83</v>
      </c>
      <c r="X1075" s="7">
        <v>10</v>
      </c>
      <c r="Y1075" s="7"/>
      <c r="Z1075" s="7"/>
      <c r="AA1075" s="7"/>
      <c r="AB1075" s="7">
        <f t="shared" si="82"/>
        <v>15</v>
      </c>
      <c r="AC1075" s="7">
        <f t="shared" si="79"/>
        <v>15</v>
      </c>
      <c r="AD1075" s="7"/>
      <c r="AE1075" s="7"/>
      <c r="AF1075" s="7"/>
      <c r="AG1075" s="7"/>
      <c r="AH1075" s="7"/>
      <c r="AI1075" s="7"/>
      <c r="AJ1075" s="7"/>
      <c r="AK1075" s="7"/>
      <c r="AL1075" s="9" t="s">
        <v>38</v>
      </c>
      <c r="AM1075" s="7" t="s">
        <v>582</v>
      </c>
      <c r="AN1075" s="7" t="s">
        <v>2851</v>
      </c>
      <c r="AO1075" s="12"/>
    </row>
    <row r="1076" spans="1:41" s="11" customFormat="1" ht="24" x14ac:dyDescent="0.25">
      <c r="A1076" s="2">
        <v>1075</v>
      </c>
      <c r="B1076" s="7" t="s">
        <v>913</v>
      </c>
      <c r="C1076" s="7" t="s">
        <v>78</v>
      </c>
      <c r="D1076" s="7">
        <v>12</v>
      </c>
      <c r="E1076" s="7">
        <v>12</v>
      </c>
      <c r="F1076" s="8">
        <v>1</v>
      </c>
      <c r="G1076" s="8">
        <v>1</v>
      </c>
      <c r="H1076" s="7">
        <v>1</v>
      </c>
      <c r="I1076" s="7">
        <v>1</v>
      </c>
      <c r="J1076" s="9" t="s">
        <v>176</v>
      </c>
      <c r="K1076" s="7">
        <v>3</v>
      </c>
      <c r="L1076" s="7" t="s">
        <v>52</v>
      </c>
      <c r="M1076" s="7">
        <f t="shared" si="77"/>
        <v>1</v>
      </c>
      <c r="N1076" s="9" t="s">
        <v>177</v>
      </c>
      <c r="O1076" s="7">
        <v>0</v>
      </c>
      <c r="P1076" s="9" t="s">
        <v>63</v>
      </c>
      <c r="Q1076" s="7" t="s">
        <v>38</v>
      </c>
      <c r="R1076" s="7" t="s">
        <v>52</v>
      </c>
      <c r="S1076" s="10" t="s">
        <v>2045</v>
      </c>
      <c r="T1076" s="7">
        <v>4</v>
      </c>
      <c r="U1076" s="7">
        <v>4</v>
      </c>
      <c r="V1076" s="7">
        <v>240</v>
      </c>
      <c r="W1076" s="7" t="s">
        <v>214</v>
      </c>
      <c r="X1076" s="7"/>
      <c r="Y1076" s="7"/>
      <c r="Z1076" s="7"/>
      <c r="AA1076" s="7"/>
      <c r="AB1076" s="7">
        <f t="shared" si="82"/>
        <v>1.3333333333333333</v>
      </c>
      <c r="AC1076" s="7">
        <f t="shared" si="79"/>
        <v>1.3333333333333333</v>
      </c>
      <c r="AD1076" s="7"/>
      <c r="AE1076" s="7"/>
      <c r="AF1076" s="7"/>
      <c r="AG1076" s="7"/>
      <c r="AH1076" s="7"/>
      <c r="AI1076" s="7"/>
      <c r="AJ1076" s="7"/>
      <c r="AK1076" s="7"/>
      <c r="AL1076" s="9"/>
      <c r="AM1076" s="7" t="s">
        <v>215</v>
      </c>
      <c r="AN1076" s="7" t="s">
        <v>2850</v>
      </c>
      <c r="AO1076" s="12"/>
    </row>
    <row r="1077" spans="1:41" s="11" customFormat="1" x14ac:dyDescent="0.25">
      <c r="A1077" s="2">
        <v>1076</v>
      </c>
      <c r="B1077" s="7" t="s">
        <v>913</v>
      </c>
      <c r="C1077" s="7" t="s">
        <v>78</v>
      </c>
      <c r="D1077" s="7">
        <v>9</v>
      </c>
      <c r="E1077" s="7">
        <v>9</v>
      </c>
      <c r="F1077" s="8">
        <v>1</v>
      </c>
      <c r="G1077" s="8">
        <v>1</v>
      </c>
      <c r="H1077" s="7">
        <v>1</v>
      </c>
      <c r="I1077" s="7">
        <v>1</v>
      </c>
      <c r="J1077" s="9" t="s">
        <v>176</v>
      </c>
      <c r="K1077" s="7">
        <v>3</v>
      </c>
      <c r="L1077" s="7" t="s">
        <v>52</v>
      </c>
      <c r="M1077" s="7">
        <f t="shared" si="77"/>
        <v>1</v>
      </c>
      <c r="N1077" s="9" t="s">
        <v>177</v>
      </c>
      <c r="O1077" s="7">
        <v>0</v>
      </c>
      <c r="P1077" s="9" t="s">
        <v>63</v>
      </c>
      <c r="Q1077" s="7" t="s">
        <v>38</v>
      </c>
      <c r="R1077" s="7" t="s">
        <v>52</v>
      </c>
      <c r="S1077" s="10" t="s">
        <v>2046</v>
      </c>
      <c r="T1077" s="7">
        <v>5</v>
      </c>
      <c r="U1077" s="7">
        <v>5</v>
      </c>
      <c r="V1077" s="7">
        <v>190</v>
      </c>
      <c r="W1077" s="7" t="s">
        <v>946</v>
      </c>
      <c r="X1077" s="7"/>
      <c r="Y1077" s="7"/>
      <c r="Z1077" s="7"/>
      <c r="AA1077" s="7"/>
      <c r="AB1077" s="7">
        <f t="shared" si="82"/>
        <v>1.6666666666666667</v>
      </c>
      <c r="AC1077" s="7">
        <f t="shared" si="79"/>
        <v>1.6666666666666667</v>
      </c>
      <c r="AD1077" s="7"/>
      <c r="AE1077" s="7"/>
      <c r="AF1077" s="7"/>
      <c r="AG1077" s="7"/>
      <c r="AH1077" s="7"/>
      <c r="AI1077" s="7"/>
      <c r="AJ1077" s="7"/>
      <c r="AK1077" s="7"/>
      <c r="AL1077" s="9"/>
      <c r="AM1077" s="7" t="s">
        <v>215</v>
      </c>
      <c r="AN1077" s="7" t="s">
        <v>2850</v>
      </c>
      <c r="AO1077" s="12"/>
    </row>
    <row r="1078" spans="1:41" s="11" customFormat="1" x14ac:dyDescent="0.25">
      <c r="A1078" s="2">
        <v>1077</v>
      </c>
      <c r="B1078" s="7" t="s">
        <v>913</v>
      </c>
      <c r="C1078" s="7" t="s">
        <v>577</v>
      </c>
      <c r="D1078" s="7">
        <v>344</v>
      </c>
      <c r="E1078" s="7">
        <v>344</v>
      </c>
      <c r="F1078" s="8">
        <v>17</v>
      </c>
      <c r="G1078" s="8">
        <v>20</v>
      </c>
      <c r="H1078" s="7" t="s">
        <v>947</v>
      </c>
      <c r="I1078" s="7">
        <v>20</v>
      </c>
      <c r="J1078" s="9" t="s">
        <v>639</v>
      </c>
      <c r="K1078" s="7"/>
      <c r="L1078" s="7" t="s">
        <v>38</v>
      </c>
      <c r="M1078" s="7">
        <f t="shared" si="77"/>
        <v>0</v>
      </c>
      <c r="N1078" s="9"/>
      <c r="O1078" s="7"/>
      <c r="P1078" s="9"/>
      <c r="Q1078" s="7"/>
      <c r="R1078" s="7"/>
      <c r="S1078" s="7"/>
      <c r="T1078" s="7"/>
      <c r="U1078" s="7"/>
      <c r="V1078" s="7"/>
      <c r="W1078" s="7"/>
      <c r="X1078" s="7"/>
      <c r="Y1078" s="7"/>
      <c r="Z1078" s="7"/>
      <c r="AA1078" s="7"/>
      <c r="AB1078" s="7">
        <v>0.33333333333333298</v>
      </c>
      <c r="AC1078" s="7">
        <f t="shared" si="79"/>
        <v>0</v>
      </c>
      <c r="AD1078" s="7"/>
      <c r="AE1078" s="7"/>
      <c r="AF1078" s="7"/>
      <c r="AG1078" s="7"/>
      <c r="AH1078" s="7"/>
      <c r="AI1078" s="7"/>
      <c r="AJ1078" s="7"/>
      <c r="AK1078" s="7"/>
      <c r="AL1078" s="9"/>
      <c r="AM1078" s="7"/>
      <c r="AN1078" s="7"/>
      <c r="AO1078" s="15" t="s">
        <v>2621</v>
      </c>
    </row>
    <row r="1079" spans="1:41" s="11" customFormat="1" x14ac:dyDescent="0.25">
      <c r="A1079" s="2">
        <v>1078</v>
      </c>
      <c r="B1079" s="7" t="s">
        <v>948</v>
      </c>
      <c r="C1079" s="7" t="s">
        <v>89</v>
      </c>
      <c r="D1079" s="7">
        <v>73</v>
      </c>
      <c r="E1079" s="7">
        <v>73</v>
      </c>
      <c r="F1079" s="8">
        <v>1</v>
      </c>
      <c r="G1079" s="9" t="s">
        <v>95</v>
      </c>
      <c r="H1079" s="7">
        <v>3</v>
      </c>
      <c r="I1079" s="7">
        <v>3</v>
      </c>
      <c r="J1079" s="9" t="s">
        <v>219</v>
      </c>
      <c r="K1079" s="7">
        <v>1</v>
      </c>
      <c r="L1079" s="7" t="s">
        <v>52</v>
      </c>
      <c r="M1079" s="7">
        <f t="shared" si="77"/>
        <v>1</v>
      </c>
      <c r="N1079" s="9" t="s">
        <v>34</v>
      </c>
      <c r="O1079" s="7">
        <v>0</v>
      </c>
      <c r="P1079" s="9" t="s">
        <v>63</v>
      </c>
      <c r="Q1079" s="7" t="s">
        <v>38</v>
      </c>
      <c r="R1079" s="7" t="s">
        <v>38</v>
      </c>
      <c r="S1079" s="10" t="s">
        <v>2047</v>
      </c>
      <c r="T1079" s="7"/>
      <c r="U1079" s="7"/>
      <c r="V1079" s="7"/>
      <c r="W1079" s="7"/>
      <c r="X1079" s="7">
        <v>3</v>
      </c>
      <c r="Y1079" s="7"/>
      <c r="Z1079" s="7"/>
      <c r="AA1079" s="7"/>
      <c r="AB1079" s="7">
        <f t="shared" ref="AB1079:AB1087" si="83">(U1079+X1079+Z1079)/3</f>
        <v>1</v>
      </c>
      <c r="AC1079" s="7">
        <f t="shared" si="79"/>
        <v>1</v>
      </c>
      <c r="AD1079" s="7"/>
      <c r="AE1079" s="7"/>
      <c r="AF1079" s="7"/>
      <c r="AG1079" s="7"/>
      <c r="AH1079" s="7"/>
      <c r="AI1079" s="7"/>
      <c r="AJ1079" s="7"/>
      <c r="AK1079" s="7"/>
      <c r="AL1079" s="9"/>
      <c r="AM1079" s="7" t="s">
        <v>71</v>
      </c>
      <c r="AN1079" s="7" t="s">
        <v>71</v>
      </c>
      <c r="AO1079" s="12"/>
    </row>
    <row r="1080" spans="1:41" s="11" customFormat="1" ht="24" x14ac:dyDescent="0.25">
      <c r="A1080" s="2">
        <v>1079</v>
      </c>
      <c r="B1080" s="7" t="s">
        <v>949</v>
      </c>
      <c r="C1080" s="7" t="s">
        <v>44</v>
      </c>
      <c r="D1080" s="7" t="s">
        <v>950</v>
      </c>
      <c r="E1080" s="7">
        <f>242+34+12+22+9+8+12+12</f>
        <v>351</v>
      </c>
      <c r="F1080" s="8">
        <v>1</v>
      </c>
      <c r="G1080" s="9" t="s">
        <v>951</v>
      </c>
      <c r="H1080" s="7" t="s">
        <v>952</v>
      </c>
      <c r="I1080" s="7">
        <f>9+6+3</f>
        <v>18</v>
      </c>
      <c r="J1080" s="9" t="s">
        <v>35</v>
      </c>
      <c r="K1080" s="7">
        <v>2</v>
      </c>
      <c r="L1080" s="7" t="s">
        <v>52</v>
      </c>
      <c r="M1080" s="7">
        <f t="shared" si="77"/>
        <v>1</v>
      </c>
      <c r="N1080" s="9" t="s">
        <v>82</v>
      </c>
      <c r="O1080" s="7">
        <v>0</v>
      </c>
      <c r="P1080" s="9" t="s">
        <v>34</v>
      </c>
      <c r="Q1080" s="7" t="s">
        <v>52</v>
      </c>
      <c r="R1080" s="7" t="s">
        <v>38</v>
      </c>
      <c r="S1080" s="10" t="s">
        <v>2048</v>
      </c>
      <c r="T1080" s="7"/>
      <c r="U1080" s="7"/>
      <c r="V1080" s="7"/>
      <c r="W1080" s="7"/>
      <c r="X1080" s="7">
        <v>20</v>
      </c>
      <c r="Y1080" s="7">
        <v>97</v>
      </c>
      <c r="Z1080" s="7">
        <v>97</v>
      </c>
      <c r="AA1080" s="7">
        <v>72</v>
      </c>
      <c r="AB1080" s="7">
        <f t="shared" si="83"/>
        <v>39</v>
      </c>
      <c r="AC1080" s="7">
        <f t="shared" si="79"/>
        <v>39</v>
      </c>
      <c r="AD1080" s="7"/>
      <c r="AE1080" s="7"/>
      <c r="AF1080" s="7"/>
      <c r="AG1080" s="7"/>
      <c r="AH1080" s="7"/>
      <c r="AI1080" s="7"/>
      <c r="AJ1080" s="7"/>
      <c r="AK1080" s="7"/>
      <c r="AL1080" s="9"/>
      <c r="AM1080" s="7" t="s">
        <v>67</v>
      </c>
      <c r="AN1080" s="7" t="s">
        <v>2847</v>
      </c>
      <c r="AO1080" s="15" t="s">
        <v>2622</v>
      </c>
    </row>
    <row r="1081" spans="1:41" s="11" customFormat="1" ht="24" x14ac:dyDescent="0.25">
      <c r="A1081" s="2">
        <v>1080</v>
      </c>
      <c r="B1081" s="7" t="s">
        <v>953</v>
      </c>
      <c r="C1081" s="7" t="s">
        <v>32</v>
      </c>
      <c r="D1081" s="7" t="s">
        <v>954</v>
      </c>
      <c r="E1081" s="7">
        <f>123+56</f>
        <v>179</v>
      </c>
      <c r="F1081" s="8">
        <v>1</v>
      </c>
      <c r="G1081" s="9" t="s">
        <v>603</v>
      </c>
      <c r="H1081" s="7">
        <v>5</v>
      </c>
      <c r="I1081" s="7">
        <v>5</v>
      </c>
      <c r="J1081" s="9" t="s">
        <v>35</v>
      </c>
      <c r="K1081" s="7">
        <v>1</v>
      </c>
      <c r="L1081" s="7" t="s">
        <v>52</v>
      </c>
      <c r="M1081" s="7">
        <f t="shared" si="77"/>
        <v>1</v>
      </c>
      <c r="N1081" s="9" t="s">
        <v>36</v>
      </c>
      <c r="O1081" s="7">
        <v>0</v>
      </c>
      <c r="P1081" s="9" t="s">
        <v>63</v>
      </c>
      <c r="Q1081" s="7" t="s">
        <v>52</v>
      </c>
      <c r="R1081" s="7" t="s">
        <v>38</v>
      </c>
      <c r="S1081" s="10" t="s">
        <v>2049</v>
      </c>
      <c r="T1081" s="7"/>
      <c r="U1081" s="7"/>
      <c r="V1081" s="7"/>
      <c r="W1081" s="7"/>
      <c r="X1081" s="7">
        <v>3</v>
      </c>
      <c r="Y1081" s="7">
        <v>60</v>
      </c>
      <c r="Z1081" s="7">
        <v>60</v>
      </c>
      <c r="AA1081" s="7">
        <v>96</v>
      </c>
      <c r="AB1081" s="7">
        <f t="shared" si="83"/>
        <v>21</v>
      </c>
      <c r="AC1081" s="7">
        <f t="shared" si="79"/>
        <v>21</v>
      </c>
      <c r="AD1081" s="7"/>
      <c r="AE1081" s="7"/>
      <c r="AF1081" s="7"/>
      <c r="AG1081" s="7"/>
      <c r="AH1081" s="7"/>
      <c r="AI1081" s="7"/>
      <c r="AJ1081" s="7"/>
      <c r="AK1081" s="7"/>
      <c r="AL1081" s="9"/>
      <c r="AM1081" s="7" t="s">
        <v>67</v>
      </c>
      <c r="AN1081" s="7" t="s">
        <v>2847</v>
      </c>
      <c r="AO1081" s="12"/>
    </row>
    <row r="1082" spans="1:41" s="11" customFormat="1" x14ac:dyDescent="0.25">
      <c r="A1082" s="2">
        <v>1081</v>
      </c>
      <c r="B1082" s="7" t="s">
        <v>955</v>
      </c>
      <c r="C1082" s="7" t="s">
        <v>89</v>
      </c>
      <c r="D1082" s="7" t="s">
        <v>956</v>
      </c>
      <c r="E1082" s="7">
        <v>18</v>
      </c>
      <c r="F1082" s="8">
        <v>1</v>
      </c>
      <c r="G1082" s="9" t="s">
        <v>196</v>
      </c>
      <c r="H1082" s="7">
        <v>2</v>
      </c>
      <c r="I1082" s="7">
        <v>2</v>
      </c>
      <c r="J1082" s="9" t="s">
        <v>35</v>
      </c>
      <c r="K1082" s="7">
        <v>1</v>
      </c>
      <c r="L1082" s="7" t="s">
        <v>52</v>
      </c>
      <c r="M1082" s="7">
        <f t="shared" si="77"/>
        <v>1</v>
      </c>
      <c r="N1082" s="9" t="s">
        <v>34</v>
      </c>
      <c r="O1082" s="7">
        <v>0</v>
      </c>
      <c r="P1082" s="9" t="s">
        <v>63</v>
      </c>
      <c r="Q1082" s="7" t="s">
        <v>52</v>
      </c>
      <c r="R1082" s="7" t="s">
        <v>38</v>
      </c>
      <c r="S1082" s="7"/>
      <c r="T1082" s="7"/>
      <c r="U1082" s="7"/>
      <c r="V1082" s="7"/>
      <c r="W1082" s="7"/>
      <c r="X1082" s="7">
        <v>3</v>
      </c>
      <c r="Y1082" s="7"/>
      <c r="Z1082" s="7"/>
      <c r="AA1082" s="7"/>
      <c r="AB1082" s="7">
        <f t="shared" si="83"/>
        <v>1</v>
      </c>
      <c r="AC1082" s="7">
        <f t="shared" si="79"/>
        <v>1</v>
      </c>
      <c r="AD1082" s="7"/>
      <c r="AE1082" s="7"/>
      <c r="AF1082" s="7"/>
      <c r="AG1082" s="7"/>
      <c r="AH1082" s="7"/>
      <c r="AI1082" s="7"/>
      <c r="AJ1082" s="7"/>
      <c r="AK1082" s="7"/>
      <c r="AL1082" s="9"/>
      <c r="AM1082" s="7" t="s">
        <v>71</v>
      </c>
      <c r="AN1082" s="7" t="s">
        <v>71</v>
      </c>
      <c r="AO1082" s="12"/>
    </row>
    <row r="1083" spans="1:41" s="11" customFormat="1" x14ac:dyDescent="0.25">
      <c r="A1083" s="2">
        <v>1082</v>
      </c>
      <c r="B1083" s="7" t="s">
        <v>957</v>
      </c>
      <c r="C1083" s="7" t="s">
        <v>50</v>
      </c>
      <c r="D1083" s="7">
        <v>46</v>
      </c>
      <c r="E1083" s="7">
        <v>46</v>
      </c>
      <c r="F1083" s="8">
        <v>1</v>
      </c>
      <c r="G1083" s="9" t="s">
        <v>196</v>
      </c>
      <c r="H1083" s="7">
        <v>2</v>
      </c>
      <c r="I1083" s="7">
        <v>2</v>
      </c>
      <c r="J1083" s="9" t="s">
        <v>35</v>
      </c>
      <c r="K1083" s="7">
        <v>2</v>
      </c>
      <c r="L1083" s="7" t="s">
        <v>52</v>
      </c>
      <c r="M1083" s="7">
        <f t="shared" si="77"/>
        <v>1</v>
      </c>
      <c r="N1083" s="9" t="s">
        <v>34</v>
      </c>
      <c r="O1083" s="7">
        <v>1</v>
      </c>
      <c r="P1083" s="9" t="s">
        <v>63</v>
      </c>
      <c r="Q1083" s="7" t="s">
        <v>38</v>
      </c>
      <c r="R1083" s="7" t="s">
        <v>38</v>
      </c>
      <c r="S1083" s="10" t="s">
        <v>2050</v>
      </c>
      <c r="T1083" s="7"/>
      <c r="U1083" s="7"/>
      <c r="V1083" s="7"/>
      <c r="W1083" s="7"/>
      <c r="X1083" s="7"/>
      <c r="Y1083" s="7">
        <v>17</v>
      </c>
      <c r="Z1083" s="7">
        <v>17</v>
      </c>
      <c r="AA1083" s="7">
        <v>120</v>
      </c>
      <c r="AB1083" s="7">
        <f t="shared" si="83"/>
        <v>5.666666666666667</v>
      </c>
      <c r="AC1083" s="7">
        <f t="shared" si="79"/>
        <v>5.666666666666667</v>
      </c>
      <c r="AD1083" s="7"/>
      <c r="AE1083" s="7"/>
      <c r="AF1083" s="7"/>
      <c r="AG1083" s="7"/>
      <c r="AH1083" s="7"/>
      <c r="AI1083" s="7"/>
      <c r="AJ1083" s="7"/>
      <c r="AK1083" s="7"/>
      <c r="AL1083" s="9"/>
      <c r="AM1083" s="7" t="s">
        <v>71</v>
      </c>
      <c r="AN1083" s="7" t="s">
        <v>71</v>
      </c>
      <c r="AO1083" s="12"/>
    </row>
    <row r="1084" spans="1:41" s="11" customFormat="1" ht="24" x14ac:dyDescent="0.25">
      <c r="A1084" s="2">
        <v>1083</v>
      </c>
      <c r="B1084" s="7" t="s">
        <v>958</v>
      </c>
      <c r="C1084" s="7" t="s">
        <v>531</v>
      </c>
      <c r="D1084" s="7" t="s">
        <v>959</v>
      </c>
      <c r="E1084" s="7">
        <f>93+45+22</f>
        <v>160</v>
      </c>
      <c r="F1084" s="8">
        <v>1</v>
      </c>
      <c r="G1084" s="9" t="s">
        <v>293</v>
      </c>
      <c r="H1084" s="7">
        <v>3</v>
      </c>
      <c r="I1084" s="7">
        <v>3</v>
      </c>
      <c r="J1084" s="9" t="s">
        <v>433</v>
      </c>
      <c r="K1084" s="7">
        <v>1</v>
      </c>
      <c r="L1084" s="7" t="s">
        <v>52</v>
      </c>
      <c r="M1084" s="7">
        <f t="shared" si="77"/>
        <v>1</v>
      </c>
      <c r="N1084" s="9" t="s">
        <v>36</v>
      </c>
      <c r="O1084" s="7">
        <v>0</v>
      </c>
      <c r="P1084" s="9" t="s">
        <v>34</v>
      </c>
      <c r="Q1084" s="7" t="s">
        <v>38</v>
      </c>
      <c r="R1084" s="7" t="s">
        <v>38</v>
      </c>
      <c r="S1084" s="10" t="s">
        <v>2051</v>
      </c>
      <c r="T1084" s="7">
        <v>15</v>
      </c>
      <c r="U1084" s="7">
        <v>15</v>
      </c>
      <c r="V1084" s="7">
        <v>160</v>
      </c>
      <c r="W1084" s="7" t="s">
        <v>239</v>
      </c>
      <c r="X1084" s="7"/>
      <c r="Y1084" s="7"/>
      <c r="Z1084" s="7"/>
      <c r="AA1084" s="7"/>
      <c r="AB1084" s="7">
        <f t="shared" si="83"/>
        <v>5</v>
      </c>
      <c r="AC1084" s="7">
        <f t="shared" si="79"/>
        <v>5</v>
      </c>
      <c r="AD1084" s="7">
        <v>1</v>
      </c>
      <c r="AE1084" s="7"/>
      <c r="AF1084" s="7" t="s">
        <v>155</v>
      </c>
      <c r="AG1084" s="7" t="s">
        <v>960</v>
      </c>
      <c r="AH1084" s="7"/>
      <c r="AI1084" s="7"/>
      <c r="AJ1084" s="7"/>
      <c r="AK1084" s="10" t="s">
        <v>2467</v>
      </c>
      <c r="AL1084" s="9"/>
      <c r="AM1084" s="7" t="s">
        <v>961</v>
      </c>
      <c r="AN1084" s="7" t="s">
        <v>662</v>
      </c>
      <c r="AO1084" s="12"/>
    </row>
    <row r="1085" spans="1:41" s="11" customFormat="1" ht="48" x14ac:dyDescent="0.25">
      <c r="A1085" s="2">
        <v>1084</v>
      </c>
      <c r="B1085" s="7" t="s">
        <v>962</v>
      </c>
      <c r="C1085" s="7" t="s">
        <v>44</v>
      </c>
      <c r="D1085" s="7" t="s">
        <v>963</v>
      </c>
      <c r="E1085" s="7">
        <f>321+12</f>
        <v>333</v>
      </c>
      <c r="F1085" s="8">
        <v>1</v>
      </c>
      <c r="G1085" s="8">
        <v>20</v>
      </c>
      <c r="H1085" s="7">
        <v>20</v>
      </c>
      <c r="I1085" s="7">
        <v>20</v>
      </c>
      <c r="J1085" s="7" t="s">
        <v>1489</v>
      </c>
      <c r="K1085" s="7">
        <v>1</v>
      </c>
      <c r="L1085" s="7" t="s">
        <v>52</v>
      </c>
      <c r="M1085" s="7">
        <f t="shared" si="77"/>
        <v>1</v>
      </c>
      <c r="N1085" s="9" t="s">
        <v>36</v>
      </c>
      <c r="O1085" s="7">
        <v>0</v>
      </c>
      <c r="P1085" s="9" t="s">
        <v>34</v>
      </c>
      <c r="Q1085" s="7" t="s">
        <v>38</v>
      </c>
      <c r="R1085" s="7" t="s">
        <v>38</v>
      </c>
      <c r="S1085" s="10" t="s">
        <v>2052</v>
      </c>
      <c r="T1085" s="7"/>
      <c r="U1085" s="7"/>
      <c r="V1085" s="7"/>
      <c r="W1085" s="7"/>
      <c r="X1085" s="7"/>
      <c r="Y1085" s="7">
        <v>60</v>
      </c>
      <c r="Z1085" s="7">
        <v>60</v>
      </c>
      <c r="AA1085" s="7">
        <v>68</v>
      </c>
      <c r="AB1085" s="7">
        <f t="shared" si="83"/>
        <v>20</v>
      </c>
      <c r="AC1085" s="7">
        <f t="shared" si="79"/>
        <v>20</v>
      </c>
      <c r="AD1085" s="7">
        <v>2</v>
      </c>
      <c r="AE1085" s="7">
        <v>1</v>
      </c>
      <c r="AF1085" s="7" t="s">
        <v>40</v>
      </c>
      <c r="AG1085" s="7" t="s">
        <v>964</v>
      </c>
      <c r="AH1085" s="7"/>
      <c r="AI1085" s="7"/>
      <c r="AJ1085" s="10" t="s">
        <v>2388</v>
      </c>
      <c r="AK1085" s="7"/>
      <c r="AL1085" s="9" t="s">
        <v>38</v>
      </c>
      <c r="AM1085" s="7" t="s">
        <v>42</v>
      </c>
      <c r="AN1085" s="7" t="s">
        <v>42</v>
      </c>
      <c r="AO1085" s="12"/>
    </row>
    <row r="1086" spans="1:41" s="11" customFormat="1" ht="120" x14ac:dyDescent="0.25">
      <c r="A1086" s="2">
        <v>1085</v>
      </c>
      <c r="B1086" s="7" t="s">
        <v>913</v>
      </c>
      <c r="C1086" s="7" t="s">
        <v>965</v>
      </c>
      <c r="D1086" s="7" t="s">
        <v>966</v>
      </c>
      <c r="E1086" s="7">
        <f>794+340+92+69+58+55+52+45+45+42+42+41+37+35+33+31+31+30+29+28+28+26+25+25+22+21+20+20+20+19+18+16+16+16+15+15+15+15+15+15+14+14+14+14+14+14+14+13+13+13+13+12+12+12+12+12+11+11+11+11+11+11+11+11+10+10+10+10+10+10+10+9+9+9+9+9+9+9+9+9+9+8+8+8+8+8+8+8+8+8+7+7+7+7+7+7+7+7+6+6+6+6+6+6+6+6+6+6+6+6+6+6+6+6+6+6+5+5+5+5+5+5+5+5+5+5+5+5+5+5+5+5+5+4+4+4+4+4+4+4+4+4+4+4+4+4+4+4+4+4+4+3+3+3+3+3+3+3+3+3+3+3+3+3+3+3+3+3+3+3+3+3+3+3+3+3+3+3+2+2+2+2+2+2+2+2+2+2+2+2+2+2+2+2+2+2+2+2+1+1+1</f>
        <v>3286</v>
      </c>
      <c r="F1086" s="8">
        <v>1</v>
      </c>
      <c r="G1086" s="8">
        <v>216</v>
      </c>
      <c r="H1086" s="7" t="s">
        <v>967</v>
      </c>
      <c r="I1086" s="7">
        <v>216</v>
      </c>
      <c r="J1086" s="9" t="s">
        <v>219</v>
      </c>
      <c r="K1086" s="7">
        <v>1</v>
      </c>
      <c r="L1086" s="7" t="s">
        <v>52</v>
      </c>
      <c r="M1086" s="7">
        <f t="shared" si="77"/>
        <v>1</v>
      </c>
      <c r="N1086" s="9" t="s">
        <v>34</v>
      </c>
      <c r="O1086" s="7">
        <v>0</v>
      </c>
      <c r="P1086" s="9" t="s">
        <v>33</v>
      </c>
      <c r="Q1086" s="7" t="s">
        <v>38</v>
      </c>
      <c r="R1086" s="7" t="s">
        <v>38</v>
      </c>
      <c r="S1086" s="10" t="s">
        <v>2053</v>
      </c>
      <c r="T1086" s="7">
        <v>100</v>
      </c>
      <c r="U1086" s="7">
        <v>100</v>
      </c>
      <c r="V1086" s="7">
        <v>200</v>
      </c>
      <c r="W1086" s="7" t="s">
        <v>239</v>
      </c>
      <c r="X1086" s="7">
        <v>15</v>
      </c>
      <c r="Y1086" s="7">
        <v>60</v>
      </c>
      <c r="Z1086" s="7">
        <v>60</v>
      </c>
      <c r="AA1086" s="7">
        <v>210</v>
      </c>
      <c r="AB1086" s="7">
        <f t="shared" si="83"/>
        <v>58.333333333333336</v>
      </c>
      <c r="AC1086" s="7">
        <f t="shared" si="79"/>
        <v>58.333333333333336</v>
      </c>
      <c r="AD1086" s="7">
        <v>2</v>
      </c>
      <c r="AE1086" s="7">
        <v>2</v>
      </c>
      <c r="AF1086" s="7" t="s">
        <v>155</v>
      </c>
      <c r="AG1086" s="7" t="s">
        <v>968</v>
      </c>
      <c r="AH1086" s="7"/>
      <c r="AI1086" s="7"/>
      <c r="AJ1086" s="10" t="s">
        <v>2389</v>
      </c>
      <c r="AK1086" s="10" t="s">
        <v>2468</v>
      </c>
      <c r="AL1086" s="9"/>
      <c r="AM1086" s="7" t="s">
        <v>884</v>
      </c>
      <c r="AN1086" s="7" t="s">
        <v>662</v>
      </c>
      <c r="AO1086" s="15" t="s">
        <v>2623</v>
      </c>
    </row>
    <row r="1087" spans="1:41" s="11" customFormat="1" x14ac:dyDescent="0.25">
      <c r="A1087" s="2">
        <v>1086</v>
      </c>
      <c r="B1087" s="7" t="s">
        <v>913</v>
      </c>
      <c r="C1087" s="7" t="s">
        <v>89</v>
      </c>
      <c r="D1087" s="7" t="s">
        <v>969</v>
      </c>
      <c r="E1087" s="7">
        <f>26+18+13+8+1</f>
        <v>66</v>
      </c>
      <c r="F1087" s="8">
        <v>7</v>
      </c>
      <c r="G1087" s="8">
        <v>8</v>
      </c>
      <c r="H1087" s="7" t="s">
        <v>258</v>
      </c>
      <c r="I1087" s="7">
        <v>8</v>
      </c>
      <c r="J1087" s="9" t="s">
        <v>219</v>
      </c>
      <c r="K1087" s="7">
        <v>1</v>
      </c>
      <c r="L1087" s="7" t="s">
        <v>52</v>
      </c>
      <c r="M1087" s="7">
        <f t="shared" si="77"/>
        <v>7</v>
      </c>
      <c r="N1087" s="9"/>
      <c r="O1087" s="7"/>
      <c r="P1087" s="9"/>
      <c r="Q1087" s="7"/>
      <c r="R1087" s="7"/>
      <c r="S1087" s="7"/>
      <c r="T1087" s="7"/>
      <c r="U1087" s="7"/>
      <c r="V1087" s="7"/>
      <c r="W1087" s="7"/>
      <c r="X1087" s="7">
        <v>3</v>
      </c>
      <c r="Y1087" s="7"/>
      <c r="Z1087" s="7"/>
      <c r="AA1087" s="7"/>
      <c r="AB1087" s="7">
        <f t="shared" si="83"/>
        <v>1</v>
      </c>
      <c r="AC1087" s="7">
        <f t="shared" si="79"/>
        <v>1</v>
      </c>
      <c r="AD1087" s="7"/>
      <c r="AE1087" s="7"/>
      <c r="AF1087" s="7"/>
      <c r="AG1087" s="7"/>
      <c r="AH1087" s="7"/>
      <c r="AI1087" s="7"/>
      <c r="AJ1087" s="7"/>
      <c r="AK1087" s="7"/>
      <c r="AL1087" s="9"/>
      <c r="AM1087" s="7" t="s">
        <v>71</v>
      </c>
      <c r="AN1087" s="7" t="s">
        <v>71</v>
      </c>
      <c r="AO1087" s="12"/>
    </row>
    <row r="1088" spans="1:41" s="11" customFormat="1" ht="24" x14ac:dyDescent="0.25">
      <c r="A1088" s="2">
        <v>1087</v>
      </c>
      <c r="B1088" s="7" t="s">
        <v>913</v>
      </c>
      <c r="C1088" s="7" t="s">
        <v>104</v>
      </c>
      <c r="D1088" s="7">
        <v>57</v>
      </c>
      <c r="E1088" s="7">
        <v>57</v>
      </c>
      <c r="F1088" s="8">
        <v>1</v>
      </c>
      <c r="G1088" s="8">
        <v>1</v>
      </c>
      <c r="H1088" s="7">
        <v>1</v>
      </c>
      <c r="I1088" s="7">
        <v>1</v>
      </c>
      <c r="J1088" s="9" t="s">
        <v>219</v>
      </c>
      <c r="K1088" s="7">
        <v>1</v>
      </c>
      <c r="L1088" s="7" t="s">
        <v>52</v>
      </c>
      <c r="M1088" s="7">
        <f t="shared" si="77"/>
        <v>1</v>
      </c>
      <c r="N1088" s="9" t="s">
        <v>36</v>
      </c>
      <c r="O1088" s="7">
        <v>0</v>
      </c>
      <c r="P1088" s="9" t="s">
        <v>33</v>
      </c>
      <c r="Q1088" s="7" t="s">
        <v>38</v>
      </c>
      <c r="R1088" s="7" t="s">
        <v>38</v>
      </c>
      <c r="S1088" s="10" t="s">
        <v>2054</v>
      </c>
      <c r="T1088" s="7"/>
      <c r="U1088" s="7"/>
      <c r="V1088" s="7"/>
      <c r="W1088" s="7"/>
      <c r="X1088" s="7"/>
      <c r="Y1088" s="7"/>
      <c r="Z1088" s="7"/>
      <c r="AA1088" s="7"/>
      <c r="AB1088" s="7">
        <v>0.33333333333333298</v>
      </c>
      <c r="AC1088" s="7">
        <f t="shared" si="79"/>
        <v>0.33333333333333298</v>
      </c>
      <c r="AD1088" s="7">
        <v>1</v>
      </c>
      <c r="AE1088" s="7"/>
      <c r="AF1088" s="7" t="s">
        <v>155</v>
      </c>
      <c r="AG1088" s="7" t="s">
        <v>970</v>
      </c>
      <c r="AH1088" s="7"/>
      <c r="AI1088" s="7"/>
      <c r="AJ1088" s="7"/>
      <c r="AK1088" s="7"/>
      <c r="AL1088" s="9"/>
      <c r="AM1088" s="7" t="s">
        <v>71</v>
      </c>
      <c r="AN1088" s="7" t="s">
        <v>71</v>
      </c>
      <c r="AO1088" s="15" t="s">
        <v>2624</v>
      </c>
    </row>
    <row r="1089" spans="1:41" s="11" customFormat="1" ht="24" x14ac:dyDescent="0.25">
      <c r="A1089" s="2">
        <v>1088</v>
      </c>
      <c r="B1089" s="7" t="s">
        <v>913</v>
      </c>
      <c r="C1089" s="7" t="s">
        <v>174</v>
      </c>
      <c r="D1089" s="7" t="s">
        <v>971</v>
      </c>
      <c r="E1089" s="7">
        <f>18+6+5</f>
        <v>29</v>
      </c>
      <c r="F1089" s="8">
        <v>1</v>
      </c>
      <c r="G1089" s="8">
        <v>3</v>
      </c>
      <c r="H1089" s="7" t="s">
        <v>97</v>
      </c>
      <c r="I1089" s="7">
        <v>3</v>
      </c>
      <c r="J1089" s="9" t="s">
        <v>219</v>
      </c>
      <c r="K1089" s="7">
        <v>1</v>
      </c>
      <c r="L1089" s="7" t="s">
        <v>52</v>
      </c>
      <c r="M1089" s="7">
        <f t="shared" si="77"/>
        <v>1</v>
      </c>
      <c r="N1089" s="9" t="s">
        <v>34</v>
      </c>
      <c r="O1089" s="7">
        <v>0</v>
      </c>
      <c r="P1089" s="9" t="s">
        <v>33</v>
      </c>
      <c r="Q1089" s="7" t="s">
        <v>38</v>
      </c>
      <c r="R1089" s="7" t="s">
        <v>38</v>
      </c>
      <c r="S1089" s="10" t="s">
        <v>2055</v>
      </c>
      <c r="T1089" s="7" t="s">
        <v>92</v>
      </c>
      <c r="U1089" s="7">
        <v>3</v>
      </c>
      <c r="V1089" s="7" t="s">
        <v>199</v>
      </c>
      <c r="W1089" s="7" t="s">
        <v>239</v>
      </c>
      <c r="X1089" s="7">
        <v>3</v>
      </c>
      <c r="Y1089" s="7"/>
      <c r="Z1089" s="7"/>
      <c r="AA1089" s="7"/>
      <c r="AB1089" s="7">
        <f t="shared" ref="AB1089:AB1099" si="84">(U1089+X1089+Z1089)/3</f>
        <v>2</v>
      </c>
      <c r="AC1089" s="7">
        <f t="shared" si="79"/>
        <v>2</v>
      </c>
      <c r="AD1089" s="7"/>
      <c r="AE1089" s="7"/>
      <c r="AF1089" s="7"/>
      <c r="AG1089" s="7"/>
      <c r="AH1089" s="7"/>
      <c r="AI1089" s="7"/>
      <c r="AJ1089" s="7"/>
      <c r="AK1089" s="7"/>
      <c r="AL1089" s="9"/>
      <c r="AM1089" s="7" t="s">
        <v>71</v>
      </c>
      <c r="AN1089" s="7" t="s">
        <v>71</v>
      </c>
      <c r="AO1089" s="12"/>
    </row>
    <row r="1090" spans="1:41" s="11" customFormat="1" x14ac:dyDescent="0.25">
      <c r="A1090" s="2">
        <v>1089</v>
      </c>
      <c r="B1090" s="7" t="s">
        <v>913</v>
      </c>
      <c r="C1090" s="7" t="s">
        <v>50</v>
      </c>
      <c r="D1090" s="7">
        <v>15</v>
      </c>
      <c r="E1090" s="7">
        <v>15</v>
      </c>
      <c r="F1090" s="8">
        <v>1</v>
      </c>
      <c r="G1090" s="8">
        <v>1</v>
      </c>
      <c r="H1090" s="7">
        <v>1</v>
      </c>
      <c r="I1090" s="7">
        <v>1</v>
      </c>
      <c r="J1090" s="9" t="s">
        <v>35</v>
      </c>
      <c r="K1090" s="7">
        <v>2</v>
      </c>
      <c r="L1090" s="7" t="s">
        <v>52</v>
      </c>
      <c r="M1090" s="7">
        <f t="shared" ref="M1090:M1153" si="85">IF(L1090="n",F1090,0)</f>
        <v>1</v>
      </c>
      <c r="N1090" s="9" t="s">
        <v>34</v>
      </c>
      <c r="O1090" s="7">
        <v>0</v>
      </c>
      <c r="P1090" s="9" t="s">
        <v>63</v>
      </c>
      <c r="Q1090" s="7" t="s">
        <v>38</v>
      </c>
      <c r="R1090" s="7" t="s">
        <v>38</v>
      </c>
      <c r="S1090" s="10" t="s">
        <v>2056</v>
      </c>
      <c r="T1090" s="7"/>
      <c r="U1090" s="7"/>
      <c r="V1090" s="7"/>
      <c r="W1090" s="7"/>
      <c r="X1090" s="7"/>
      <c r="Y1090" s="7">
        <v>20</v>
      </c>
      <c r="Z1090" s="7">
        <v>20</v>
      </c>
      <c r="AA1090" s="7">
        <v>90</v>
      </c>
      <c r="AB1090" s="7">
        <f t="shared" si="84"/>
        <v>6.666666666666667</v>
      </c>
      <c r="AC1090" s="7">
        <f t="shared" ref="AC1090:AC1153" si="86">IF(L1090="n",AB1090,0)</f>
        <v>6.666666666666667</v>
      </c>
      <c r="AD1090" s="7"/>
      <c r="AE1090" s="7"/>
      <c r="AF1090" s="7"/>
      <c r="AG1090" s="7"/>
      <c r="AH1090" s="7"/>
      <c r="AI1090" s="7"/>
      <c r="AJ1090" s="7"/>
      <c r="AK1090" s="7"/>
      <c r="AL1090" s="9"/>
      <c r="AM1090" s="7" t="s">
        <v>71</v>
      </c>
      <c r="AN1090" s="7" t="s">
        <v>71</v>
      </c>
      <c r="AO1090" s="12"/>
    </row>
    <row r="1091" spans="1:41" s="11" customFormat="1" x14ac:dyDescent="0.25">
      <c r="A1091" s="2">
        <v>1090</v>
      </c>
      <c r="B1091" s="7" t="s">
        <v>913</v>
      </c>
      <c r="C1091" s="7" t="s">
        <v>50</v>
      </c>
      <c r="D1091" s="7">
        <v>6</v>
      </c>
      <c r="E1091" s="7">
        <v>6</v>
      </c>
      <c r="F1091" s="8">
        <v>1</v>
      </c>
      <c r="G1091" s="8">
        <v>1</v>
      </c>
      <c r="H1091" s="7">
        <v>1</v>
      </c>
      <c r="I1091" s="7">
        <v>1</v>
      </c>
      <c r="J1091" s="9" t="s">
        <v>35</v>
      </c>
      <c r="K1091" s="7">
        <v>2</v>
      </c>
      <c r="L1091" s="7" t="s">
        <v>52</v>
      </c>
      <c r="M1091" s="7">
        <f t="shared" si="85"/>
        <v>1</v>
      </c>
      <c r="N1091" s="9" t="s">
        <v>34</v>
      </c>
      <c r="O1091" s="7">
        <v>0</v>
      </c>
      <c r="P1091" s="9" t="s">
        <v>37</v>
      </c>
      <c r="Q1091" s="7" t="s">
        <v>38</v>
      </c>
      <c r="R1091" s="7"/>
      <c r="S1091" s="10" t="s">
        <v>2057</v>
      </c>
      <c r="T1091" s="7"/>
      <c r="U1091" s="7"/>
      <c r="V1091" s="7"/>
      <c r="W1091" s="7"/>
      <c r="X1091" s="7"/>
      <c r="Y1091" s="7">
        <v>8</v>
      </c>
      <c r="Z1091" s="7">
        <v>8</v>
      </c>
      <c r="AA1091" s="7">
        <v>80</v>
      </c>
      <c r="AB1091" s="7">
        <f t="shared" si="84"/>
        <v>2.6666666666666665</v>
      </c>
      <c r="AC1091" s="7">
        <f t="shared" si="86"/>
        <v>2.6666666666666665</v>
      </c>
      <c r="AD1091" s="7"/>
      <c r="AE1091" s="7"/>
      <c r="AF1091" s="7"/>
      <c r="AG1091" s="7"/>
      <c r="AH1091" s="7"/>
      <c r="AI1091" s="7"/>
      <c r="AJ1091" s="7"/>
      <c r="AK1091" s="7"/>
      <c r="AL1091" s="9"/>
      <c r="AM1091" s="7" t="s">
        <v>71</v>
      </c>
      <c r="AN1091" s="7" t="s">
        <v>71</v>
      </c>
      <c r="AO1091" s="12"/>
    </row>
    <row r="1092" spans="1:41" s="11" customFormat="1" x14ac:dyDescent="0.25">
      <c r="A1092" s="2">
        <v>1091</v>
      </c>
      <c r="B1092" s="7" t="s">
        <v>962</v>
      </c>
      <c r="C1092" s="7" t="s">
        <v>32</v>
      </c>
      <c r="D1092" s="7" t="s">
        <v>972</v>
      </c>
      <c r="E1092" s="7">
        <f>44+13</f>
        <v>57</v>
      </c>
      <c r="F1092" s="8">
        <v>1</v>
      </c>
      <c r="G1092" s="8">
        <v>5</v>
      </c>
      <c r="H1092" s="7">
        <v>5</v>
      </c>
      <c r="I1092" s="7">
        <v>5</v>
      </c>
      <c r="J1092" s="9" t="s">
        <v>35</v>
      </c>
      <c r="K1092" s="7">
        <v>1</v>
      </c>
      <c r="L1092" s="7" t="s">
        <v>52</v>
      </c>
      <c r="M1092" s="7">
        <f t="shared" si="85"/>
        <v>1</v>
      </c>
      <c r="N1092" s="9" t="s">
        <v>36</v>
      </c>
      <c r="O1092" s="7">
        <v>1</v>
      </c>
      <c r="P1092" s="9" t="s">
        <v>63</v>
      </c>
      <c r="Q1092" s="7" t="s">
        <v>38</v>
      </c>
      <c r="R1092" s="7" t="s">
        <v>38</v>
      </c>
      <c r="S1092" s="10" t="s">
        <v>1922</v>
      </c>
      <c r="T1092" s="7"/>
      <c r="U1092" s="7"/>
      <c r="V1092" s="7"/>
      <c r="W1092" s="7"/>
      <c r="X1092" s="7">
        <v>40</v>
      </c>
      <c r="Y1092" s="7"/>
      <c r="Z1092" s="7"/>
      <c r="AA1092" s="7"/>
      <c r="AB1092" s="7">
        <f t="shared" si="84"/>
        <v>13.333333333333334</v>
      </c>
      <c r="AC1092" s="7">
        <f t="shared" si="86"/>
        <v>13.333333333333334</v>
      </c>
      <c r="AD1092" s="7"/>
      <c r="AE1092" s="7">
        <v>1</v>
      </c>
      <c r="AF1092" s="7"/>
      <c r="AG1092" s="7" t="s">
        <v>973</v>
      </c>
      <c r="AH1092" s="7" t="s">
        <v>38</v>
      </c>
      <c r="AI1092" s="7"/>
      <c r="AJ1092" s="10" t="s">
        <v>2390</v>
      </c>
      <c r="AK1092" s="7"/>
      <c r="AL1092" s="9"/>
      <c r="AM1092" s="7" t="s">
        <v>42</v>
      </c>
      <c r="AN1092" s="7" t="s">
        <v>42</v>
      </c>
      <c r="AO1092" s="12"/>
    </row>
    <row r="1093" spans="1:41" s="11" customFormat="1" x14ac:dyDescent="0.25">
      <c r="A1093" s="2">
        <v>1092</v>
      </c>
      <c r="B1093" s="7" t="s">
        <v>974</v>
      </c>
      <c r="C1093" s="7" t="s">
        <v>50</v>
      </c>
      <c r="D1093" s="7">
        <v>89</v>
      </c>
      <c r="E1093" s="7">
        <v>89</v>
      </c>
      <c r="F1093" s="8">
        <v>1</v>
      </c>
      <c r="G1093" s="8">
        <v>3</v>
      </c>
      <c r="H1093" s="7">
        <v>3</v>
      </c>
      <c r="I1093" s="7">
        <v>3</v>
      </c>
      <c r="J1093" s="9" t="s">
        <v>35</v>
      </c>
      <c r="K1093" s="7">
        <v>2</v>
      </c>
      <c r="L1093" s="7" t="s">
        <v>52</v>
      </c>
      <c r="M1093" s="7">
        <f t="shared" si="85"/>
        <v>1</v>
      </c>
      <c r="N1093" s="9" t="s">
        <v>36</v>
      </c>
      <c r="O1093" s="7">
        <v>0</v>
      </c>
      <c r="P1093" s="9" t="s">
        <v>63</v>
      </c>
      <c r="Q1093" s="7" t="s">
        <v>38</v>
      </c>
      <c r="R1093" s="7" t="s">
        <v>38</v>
      </c>
      <c r="S1093" s="10" t="s">
        <v>2058</v>
      </c>
      <c r="T1093" s="7"/>
      <c r="U1093" s="7"/>
      <c r="V1093" s="7"/>
      <c r="W1093" s="7"/>
      <c r="X1093" s="7"/>
      <c r="Y1093" s="7">
        <v>40</v>
      </c>
      <c r="Z1093" s="7">
        <v>40</v>
      </c>
      <c r="AA1093" s="7">
        <v>80</v>
      </c>
      <c r="AB1093" s="7">
        <f t="shared" si="84"/>
        <v>13.333333333333334</v>
      </c>
      <c r="AC1093" s="7">
        <f t="shared" si="86"/>
        <v>13.333333333333334</v>
      </c>
      <c r="AD1093" s="7"/>
      <c r="AE1093" s="7"/>
      <c r="AF1093" s="7"/>
      <c r="AG1093" s="7"/>
      <c r="AH1093" s="7"/>
      <c r="AI1093" s="7"/>
      <c r="AJ1093" s="7"/>
      <c r="AK1093" s="7"/>
      <c r="AL1093" s="9"/>
      <c r="AM1093" s="7" t="s">
        <v>975</v>
      </c>
      <c r="AN1093" s="7" t="s">
        <v>71</v>
      </c>
      <c r="AO1093" s="12"/>
    </row>
    <row r="1094" spans="1:41" s="11" customFormat="1" x14ac:dyDescent="0.25">
      <c r="A1094" s="2">
        <v>1093</v>
      </c>
      <c r="B1094" s="7" t="s">
        <v>962</v>
      </c>
      <c r="C1094" s="7" t="s">
        <v>50</v>
      </c>
      <c r="D1094" s="7">
        <v>23</v>
      </c>
      <c r="E1094" s="7">
        <v>23</v>
      </c>
      <c r="F1094" s="8">
        <v>1</v>
      </c>
      <c r="G1094" s="8">
        <v>1</v>
      </c>
      <c r="H1094" s="7">
        <v>1</v>
      </c>
      <c r="I1094" s="7">
        <v>1</v>
      </c>
      <c r="J1094" s="9" t="s">
        <v>77</v>
      </c>
      <c r="K1094" s="7">
        <v>1</v>
      </c>
      <c r="L1094" s="7" t="s">
        <v>52</v>
      </c>
      <c r="M1094" s="7">
        <f t="shared" si="85"/>
        <v>1</v>
      </c>
      <c r="N1094" s="9" t="s">
        <v>36</v>
      </c>
      <c r="O1094" s="7">
        <v>0</v>
      </c>
      <c r="P1094" s="9" t="s">
        <v>34</v>
      </c>
      <c r="Q1094" s="7" t="s">
        <v>38</v>
      </c>
      <c r="R1094" s="7" t="s">
        <v>38</v>
      </c>
      <c r="S1094" s="10" t="s">
        <v>1869</v>
      </c>
      <c r="T1094" s="7"/>
      <c r="U1094" s="7"/>
      <c r="V1094" s="7"/>
      <c r="W1094" s="7"/>
      <c r="X1094" s="7"/>
      <c r="Y1094" s="7">
        <v>15</v>
      </c>
      <c r="Z1094" s="7">
        <v>15</v>
      </c>
      <c r="AA1094" s="7">
        <v>80</v>
      </c>
      <c r="AB1094" s="7">
        <f t="shared" si="84"/>
        <v>5</v>
      </c>
      <c r="AC1094" s="7">
        <f t="shared" si="86"/>
        <v>5</v>
      </c>
      <c r="AD1094" s="7"/>
      <c r="AE1094" s="7"/>
      <c r="AF1094" s="7"/>
      <c r="AG1094" s="7"/>
      <c r="AH1094" s="7"/>
      <c r="AI1094" s="7"/>
      <c r="AJ1094" s="7"/>
      <c r="AK1094" s="7"/>
      <c r="AL1094" s="9"/>
      <c r="AM1094" s="7" t="s">
        <v>71</v>
      </c>
      <c r="AN1094" s="7" t="s">
        <v>71</v>
      </c>
      <c r="AO1094" s="12"/>
    </row>
    <row r="1095" spans="1:41" s="11" customFormat="1" x14ac:dyDescent="0.25">
      <c r="A1095" s="2">
        <v>1094</v>
      </c>
      <c r="B1095" s="7" t="s">
        <v>962</v>
      </c>
      <c r="C1095" s="7" t="s">
        <v>104</v>
      </c>
      <c r="D1095" s="7">
        <v>30</v>
      </c>
      <c r="E1095" s="7">
        <v>30</v>
      </c>
      <c r="F1095" s="8">
        <v>1</v>
      </c>
      <c r="G1095" s="8">
        <v>1</v>
      </c>
      <c r="H1095" s="7">
        <v>1</v>
      </c>
      <c r="I1095" s="7">
        <v>1</v>
      </c>
      <c r="J1095" s="9" t="s">
        <v>77</v>
      </c>
      <c r="K1095" s="7">
        <v>1</v>
      </c>
      <c r="L1095" s="7" t="s">
        <v>38</v>
      </c>
      <c r="M1095" s="7">
        <f t="shared" si="85"/>
        <v>0</v>
      </c>
      <c r="N1095" s="9" t="s">
        <v>34</v>
      </c>
      <c r="O1095" s="7">
        <v>1</v>
      </c>
      <c r="P1095" s="9" t="s">
        <v>37</v>
      </c>
      <c r="Q1095" s="7" t="s">
        <v>38</v>
      </c>
      <c r="R1095" s="7" t="s">
        <v>38</v>
      </c>
      <c r="S1095" s="10" t="s">
        <v>1718</v>
      </c>
      <c r="T1095" s="7"/>
      <c r="U1095" s="7"/>
      <c r="V1095" s="7"/>
      <c r="W1095" s="7"/>
      <c r="X1095" s="7">
        <v>3</v>
      </c>
      <c r="Y1095" s="7"/>
      <c r="Z1095" s="7"/>
      <c r="AA1095" s="7"/>
      <c r="AB1095" s="7">
        <f t="shared" si="84"/>
        <v>1</v>
      </c>
      <c r="AC1095" s="7">
        <f t="shared" si="86"/>
        <v>0</v>
      </c>
      <c r="AD1095" s="7"/>
      <c r="AE1095" s="7">
        <v>1</v>
      </c>
      <c r="AF1095" s="7" t="s">
        <v>40</v>
      </c>
      <c r="AG1095" s="7" t="s">
        <v>534</v>
      </c>
      <c r="AH1095" s="7"/>
      <c r="AI1095" s="7"/>
      <c r="AJ1095" s="7"/>
      <c r="AK1095" s="7"/>
      <c r="AL1095" s="9"/>
      <c r="AM1095" s="7" t="s">
        <v>71</v>
      </c>
      <c r="AN1095" s="7" t="s">
        <v>71</v>
      </c>
      <c r="AO1095" s="12"/>
    </row>
    <row r="1096" spans="1:41" s="11" customFormat="1" x14ac:dyDescent="0.25">
      <c r="A1096" s="2">
        <v>1095</v>
      </c>
      <c r="B1096" s="7" t="s">
        <v>962</v>
      </c>
      <c r="C1096" s="7" t="s">
        <v>100</v>
      </c>
      <c r="D1096" s="7">
        <v>9</v>
      </c>
      <c r="E1096" s="7">
        <v>9</v>
      </c>
      <c r="F1096" s="8">
        <v>1</v>
      </c>
      <c r="G1096" s="8">
        <v>1</v>
      </c>
      <c r="H1096" s="7">
        <v>1</v>
      </c>
      <c r="I1096" s="7">
        <v>1</v>
      </c>
      <c r="J1096" s="9" t="s">
        <v>35</v>
      </c>
      <c r="K1096" s="7">
        <v>2</v>
      </c>
      <c r="L1096" s="7" t="s">
        <v>52</v>
      </c>
      <c r="M1096" s="7">
        <f t="shared" si="85"/>
        <v>1</v>
      </c>
      <c r="N1096" s="9" t="s">
        <v>34</v>
      </c>
      <c r="O1096" s="7">
        <v>1</v>
      </c>
      <c r="P1096" s="9" t="s">
        <v>63</v>
      </c>
      <c r="Q1096" s="7" t="s">
        <v>38</v>
      </c>
      <c r="R1096" s="7" t="s">
        <v>38</v>
      </c>
      <c r="S1096" s="10" t="s">
        <v>2059</v>
      </c>
      <c r="T1096" s="7"/>
      <c r="U1096" s="7"/>
      <c r="V1096" s="7"/>
      <c r="W1096" s="7"/>
      <c r="X1096" s="7">
        <v>3</v>
      </c>
      <c r="Y1096" s="7"/>
      <c r="Z1096" s="7"/>
      <c r="AA1096" s="7"/>
      <c r="AB1096" s="7">
        <f t="shared" si="84"/>
        <v>1</v>
      </c>
      <c r="AC1096" s="7">
        <f t="shared" si="86"/>
        <v>1</v>
      </c>
      <c r="AD1096" s="7"/>
      <c r="AE1096" s="7"/>
      <c r="AF1096" s="7"/>
      <c r="AG1096" s="7"/>
      <c r="AH1096" s="7"/>
      <c r="AI1096" s="7"/>
      <c r="AJ1096" s="7"/>
      <c r="AK1096" s="7"/>
      <c r="AL1096" s="9"/>
      <c r="AM1096" s="7" t="s">
        <v>71</v>
      </c>
      <c r="AN1096" s="7" t="s">
        <v>71</v>
      </c>
      <c r="AO1096" s="12"/>
    </row>
    <row r="1097" spans="1:41" s="11" customFormat="1" ht="24" x14ac:dyDescent="0.25">
      <c r="A1097" s="2">
        <v>1096</v>
      </c>
      <c r="B1097" s="7" t="s">
        <v>962</v>
      </c>
      <c r="C1097" s="7" t="s">
        <v>78</v>
      </c>
      <c r="D1097" s="7">
        <v>6</v>
      </c>
      <c r="E1097" s="7">
        <v>6</v>
      </c>
      <c r="F1097" s="8">
        <v>1</v>
      </c>
      <c r="G1097" s="8">
        <v>1</v>
      </c>
      <c r="H1097" s="7">
        <v>1</v>
      </c>
      <c r="I1097" s="7">
        <v>1</v>
      </c>
      <c r="J1097" s="9" t="s">
        <v>35</v>
      </c>
      <c r="K1097" s="7">
        <v>2</v>
      </c>
      <c r="L1097" s="7" t="s">
        <v>52</v>
      </c>
      <c r="M1097" s="7">
        <f t="shared" si="85"/>
        <v>1</v>
      </c>
      <c r="N1097" s="9" t="s">
        <v>34</v>
      </c>
      <c r="O1097" s="7">
        <v>0</v>
      </c>
      <c r="P1097" s="9" t="s">
        <v>37</v>
      </c>
      <c r="Q1097" s="7" t="s">
        <v>38</v>
      </c>
      <c r="R1097" s="7" t="s">
        <v>38</v>
      </c>
      <c r="S1097" s="7"/>
      <c r="T1097" s="7">
        <v>5</v>
      </c>
      <c r="U1097" s="7">
        <v>5</v>
      </c>
      <c r="V1097" s="7">
        <v>180</v>
      </c>
      <c r="W1097" s="7" t="s">
        <v>239</v>
      </c>
      <c r="X1097" s="7"/>
      <c r="Y1097" s="7"/>
      <c r="Z1097" s="7"/>
      <c r="AA1097" s="7"/>
      <c r="AB1097" s="7">
        <f t="shared" si="84"/>
        <v>1.6666666666666667</v>
      </c>
      <c r="AC1097" s="7">
        <f t="shared" si="86"/>
        <v>1.6666666666666667</v>
      </c>
      <c r="AD1097" s="7"/>
      <c r="AE1097" s="7"/>
      <c r="AF1097" s="7"/>
      <c r="AG1097" s="7"/>
      <c r="AH1097" s="7"/>
      <c r="AI1097" s="7"/>
      <c r="AJ1097" s="7"/>
      <c r="AK1097" s="7"/>
      <c r="AL1097" s="9"/>
      <c r="AM1097" s="7" t="s">
        <v>137</v>
      </c>
      <c r="AN1097" s="7" t="s">
        <v>2848</v>
      </c>
      <c r="AO1097" s="12"/>
    </row>
    <row r="1098" spans="1:41" s="11" customFormat="1" ht="24" x14ac:dyDescent="0.25">
      <c r="A1098" s="2">
        <v>1097</v>
      </c>
      <c r="B1098" s="7" t="s">
        <v>962</v>
      </c>
      <c r="C1098" s="7" t="s">
        <v>421</v>
      </c>
      <c r="D1098" s="7" t="s">
        <v>976</v>
      </c>
      <c r="E1098" s="7">
        <v>37</v>
      </c>
      <c r="F1098" s="8">
        <v>1</v>
      </c>
      <c r="G1098" s="8">
        <v>6</v>
      </c>
      <c r="H1098" s="7">
        <v>6</v>
      </c>
      <c r="I1098" s="7">
        <v>6</v>
      </c>
      <c r="J1098" s="9" t="s">
        <v>176</v>
      </c>
      <c r="K1098" s="7">
        <v>10</v>
      </c>
      <c r="L1098" s="7" t="s">
        <v>52</v>
      </c>
      <c r="M1098" s="7">
        <f t="shared" si="85"/>
        <v>1</v>
      </c>
      <c r="N1098" s="9" t="s">
        <v>177</v>
      </c>
      <c r="O1098" s="7">
        <v>0</v>
      </c>
      <c r="P1098" s="9" t="s">
        <v>63</v>
      </c>
      <c r="Q1098" s="7" t="s">
        <v>38</v>
      </c>
      <c r="R1098" s="7" t="s">
        <v>38</v>
      </c>
      <c r="S1098" s="10" t="s">
        <v>2060</v>
      </c>
      <c r="T1098" s="7">
        <v>10</v>
      </c>
      <c r="U1098" s="7">
        <v>10</v>
      </c>
      <c r="V1098" s="7">
        <v>50</v>
      </c>
      <c r="W1098" s="7" t="s">
        <v>79</v>
      </c>
      <c r="X1098" s="7">
        <v>35</v>
      </c>
      <c r="Y1098" s="7">
        <v>80</v>
      </c>
      <c r="Z1098" s="7">
        <v>80</v>
      </c>
      <c r="AA1098" s="7">
        <v>43</v>
      </c>
      <c r="AB1098" s="7">
        <f t="shared" si="84"/>
        <v>41.666666666666664</v>
      </c>
      <c r="AC1098" s="7">
        <f t="shared" si="86"/>
        <v>41.666666666666664</v>
      </c>
      <c r="AD1098" s="7"/>
      <c r="AE1098" s="7"/>
      <c r="AF1098" s="7"/>
      <c r="AG1098" s="7"/>
      <c r="AH1098" s="7"/>
      <c r="AI1098" s="7"/>
      <c r="AJ1098" s="7"/>
      <c r="AK1098" s="7"/>
      <c r="AL1098" s="9" t="s">
        <v>38</v>
      </c>
      <c r="AM1098" s="7" t="s">
        <v>582</v>
      </c>
      <c r="AN1098" s="7" t="s">
        <v>2851</v>
      </c>
      <c r="AO1098" s="12"/>
    </row>
    <row r="1099" spans="1:41" s="11" customFormat="1" x14ac:dyDescent="0.25">
      <c r="A1099" s="2">
        <v>1098</v>
      </c>
      <c r="B1099" s="7" t="s">
        <v>962</v>
      </c>
      <c r="C1099" s="7" t="s">
        <v>104</v>
      </c>
      <c r="D1099" s="7">
        <v>71</v>
      </c>
      <c r="E1099" s="7">
        <v>71</v>
      </c>
      <c r="F1099" s="8">
        <v>1</v>
      </c>
      <c r="G1099" s="8">
        <v>1</v>
      </c>
      <c r="H1099" s="7">
        <v>1</v>
      </c>
      <c r="I1099" s="7">
        <v>1</v>
      </c>
      <c r="J1099" s="9" t="s">
        <v>219</v>
      </c>
      <c r="K1099" s="7">
        <v>1</v>
      </c>
      <c r="L1099" s="7" t="s">
        <v>52</v>
      </c>
      <c r="M1099" s="7">
        <f t="shared" si="85"/>
        <v>1</v>
      </c>
      <c r="N1099" s="9" t="s">
        <v>34</v>
      </c>
      <c r="O1099" s="7">
        <v>0</v>
      </c>
      <c r="P1099" s="9" t="s">
        <v>63</v>
      </c>
      <c r="Q1099" s="7" t="s">
        <v>38</v>
      </c>
      <c r="R1099" s="7" t="s">
        <v>38</v>
      </c>
      <c r="S1099" s="10" t="s">
        <v>2061</v>
      </c>
      <c r="T1099" s="7"/>
      <c r="U1099" s="7"/>
      <c r="V1099" s="7"/>
      <c r="W1099" s="7"/>
      <c r="X1099" s="7">
        <v>3</v>
      </c>
      <c r="Y1099" s="7"/>
      <c r="Z1099" s="7"/>
      <c r="AA1099" s="7"/>
      <c r="AB1099" s="7">
        <f t="shared" si="84"/>
        <v>1</v>
      </c>
      <c r="AC1099" s="7">
        <f t="shared" si="86"/>
        <v>1</v>
      </c>
      <c r="AD1099" s="7"/>
      <c r="AE1099" s="7"/>
      <c r="AF1099" s="7" t="s">
        <v>155</v>
      </c>
      <c r="AG1099" s="7" t="s">
        <v>977</v>
      </c>
      <c r="AH1099" s="7"/>
      <c r="AI1099" s="7"/>
      <c r="AJ1099" s="7"/>
      <c r="AK1099" s="7"/>
      <c r="AL1099" s="9"/>
      <c r="AM1099" s="7" t="s">
        <v>71</v>
      </c>
      <c r="AN1099" s="7" t="s">
        <v>71</v>
      </c>
      <c r="AO1099" s="12"/>
    </row>
    <row r="1100" spans="1:41" s="11" customFormat="1" x14ac:dyDescent="0.25">
      <c r="A1100" s="2">
        <v>1099</v>
      </c>
      <c r="B1100" s="7" t="s">
        <v>962</v>
      </c>
      <c r="C1100" s="7" t="s">
        <v>119</v>
      </c>
      <c r="D1100" s="7">
        <v>16</v>
      </c>
      <c r="E1100" s="7">
        <v>16</v>
      </c>
      <c r="F1100" s="8">
        <v>1</v>
      </c>
      <c r="G1100" s="8">
        <v>1</v>
      </c>
      <c r="H1100" s="7">
        <v>1</v>
      </c>
      <c r="I1100" s="7">
        <v>1</v>
      </c>
      <c r="J1100" s="9" t="s">
        <v>219</v>
      </c>
      <c r="K1100" s="9" t="s">
        <v>978</v>
      </c>
      <c r="L1100" s="7" t="s">
        <v>52</v>
      </c>
      <c r="M1100" s="7">
        <f t="shared" si="85"/>
        <v>1</v>
      </c>
      <c r="N1100" s="9" t="s">
        <v>82</v>
      </c>
      <c r="O1100" s="7">
        <v>0</v>
      </c>
      <c r="P1100" s="9" t="s">
        <v>36</v>
      </c>
      <c r="Q1100" s="7"/>
      <c r="R1100" s="7" t="s">
        <v>38</v>
      </c>
      <c r="S1100" s="7" t="s">
        <v>1321</v>
      </c>
      <c r="T1100" s="7"/>
      <c r="U1100" s="7"/>
      <c r="V1100" s="7"/>
      <c r="W1100" s="7"/>
      <c r="X1100" s="7"/>
      <c r="Y1100" s="7"/>
      <c r="Z1100" s="7"/>
      <c r="AA1100" s="7"/>
      <c r="AB1100" s="7">
        <v>0.33333333333333298</v>
      </c>
      <c r="AC1100" s="7">
        <f t="shared" si="86"/>
        <v>0.33333333333333298</v>
      </c>
      <c r="AD1100" s="7">
        <v>1</v>
      </c>
      <c r="AE1100" s="7"/>
      <c r="AF1100" s="7" t="s">
        <v>155</v>
      </c>
      <c r="AG1100" s="7"/>
      <c r="AH1100" s="7"/>
      <c r="AI1100" s="7"/>
      <c r="AJ1100" s="7"/>
      <c r="AK1100" s="7"/>
      <c r="AL1100" s="9"/>
      <c r="AM1100" s="7" t="s">
        <v>71</v>
      </c>
      <c r="AN1100" s="7" t="s">
        <v>71</v>
      </c>
      <c r="AO1100" s="15" t="s">
        <v>2625</v>
      </c>
    </row>
    <row r="1101" spans="1:41" s="11" customFormat="1" x14ac:dyDescent="0.25">
      <c r="A1101" s="2">
        <v>1100</v>
      </c>
      <c r="B1101" s="7" t="s">
        <v>962</v>
      </c>
      <c r="C1101" s="7" t="s">
        <v>89</v>
      </c>
      <c r="D1101" s="7" t="s">
        <v>979</v>
      </c>
      <c r="E1101" s="7">
        <f>72+63+21+7</f>
        <v>163</v>
      </c>
      <c r="F1101" s="8">
        <v>4</v>
      </c>
      <c r="G1101" s="8">
        <v>5</v>
      </c>
      <c r="H1101" s="7" t="s">
        <v>345</v>
      </c>
      <c r="I1101" s="7">
        <v>5</v>
      </c>
      <c r="J1101" s="9" t="s">
        <v>219</v>
      </c>
      <c r="K1101" s="7">
        <v>1</v>
      </c>
      <c r="L1101" s="7" t="s">
        <v>52</v>
      </c>
      <c r="M1101" s="7">
        <f t="shared" si="85"/>
        <v>4</v>
      </c>
      <c r="N1101" s="9"/>
      <c r="O1101" s="7"/>
      <c r="P1101" s="9"/>
      <c r="Q1101" s="7"/>
      <c r="R1101" s="7"/>
      <c r="S1101" s="7"/>
      <c r="T1101" s="7"/>
      <c r="U1101" s="7"/>
      <c r="V1101" s="7"/>
      <c r="W1101" s="7"/>
      <c r="X1101" s="7">
        <v>3</v>
      </c>
      <c r="Y1101" s="7"/>
      <c r="Z1101" s="7"/>
      <c r="AA1101" s="7"/>
      <c r="AB1101" s="7">
        <f>(U1101+X1101+Z1101)/3</f>
        <v>1</v>
      </c>
      <c r="AC1101" s="7">
        <f t="shared" si="86"/>
        <v>1</v>
      </c>
      <c r="AD1101" s="7"/>
      <c r="AE1101" s="7"/>
      <c r="AF1101" s="7"/>
      <c r="AG1101" s="7"/>
      <c r="AH1101" s="7"/>
      <c r="AI1101" s="7"/>
      <c r="AJ1101" s="7"/>
      <c r="AK1101" s="7"/>
      <c r="AL1101" s="9"/>
      <c r="AM1101" s="7" t="s">
        <v>71</v>
      </c>
      <c r="AN1101" s="7" t="s">
        <v>71</v>
      </c>
      <c r="AO1101" s="12"/>
    </row>
    <row r="1102" spans="1:41" s="11" customFormat="1" x14ac:dyDescent="0.25">
      <c r="A1102" s="2">
        <v>1101</v>
      </c>
      <c r="B1102" s="7" t="s">
        <v>962</v>
      </c>
      <c r="C1102" s="7" t="s">
        <v>100</v>
      </c>
      <c r="D1102" s="7">
        <v>18</v>
      </c>
      <c r="E1102" s="7">
        <v>18</v>
      </c>
      <c r="F1102" s="8">
        <v>1</v>
      </c>
      <c r="G1102" s="8">
        <v>1</v>
      </c>
      <c r="H1102" s="7">
        <v>1</v>
      </c>
      <c r="I1102" s="7">
        <v>1</v>
      </c>
      <c r="J1102" s="9" t="s">
        <v>639</v>
      </c>
      <c r="K1102" s="7"/>
      <c r="L1102" s="7" t="s">
        <v>38</v>
      </c>
      <c r="M1102" s="7">
        <f t="shared" si="85"/>
        <v>0</v>
      </c>
      <c r="N1102" s="9"/>
      <c r="O1102" s="7"/>
      <c r="P1102" s="9"/>
      <c r="Q1102" s="7"/>
      <c r="R1102" s="7"/>
      <c r="S1102" s="7"/>
      <c r="T1102" s="7"/>
      <c r="U1102" s="7"/>
      <c r="V1102" s="7"/>
      <c r="W1102" s="7"/>
      <c r="X1102" s="7"/>
      <c r="Y1102" s="7"/>
      <c r="Z1102" s="7"/>
      <c r="AA1102" s="7"/>
      <c r="AB1102" s="7">
        <v>0.33333333333333298</v>
      </c>
      <c r="AC1102" s="7">
        <f t="shared" si="86"/>
        <v>0</v>
      </c>
      <c r="AD1102" s="7"/>
      <c r="AE1102" s="7"/>
      <c r="AF1102" s="7"/>
      <c r="AG1102" s="7"/>
      <c r="AH1102" s="7"/>
      <c r="AI1102" s="7"/>
      <c r="AJ1102" s="7"/>
      <c r="AK1102" s="7"/>
      <c r="AL1102" s="9"/>
      <c r="AM1102" s="7"/>
      <c r="AN1102" s="7"/>
      <c r="AO1102" s="15" t="s">
        <v>2626</v>
      </c>
    </row>
    <row r="1103" spans="1:41" s="11" customFormat="1" x14ac:dyDescent="0.25">
      <c r="A1103" s="2">
        <v>1102</v>
      </c>
      <c r="B1103" s="7" t="s">
        <v>974</v>
      </c>
      <c r="C1103" s="7" t="s">
        <v>100</v>
      </c>
      <c r="D1103" s="7">
        <v>6</v>
      </c>
      <c r="E1103" s="7">
        <v>6</v>
      </c>
      <c r="F1103" s="8">
        <v>1</v>
      </c>
      <c r="G1103" s="8">
        <v>1</v>
      </c>
      <c r="H1103" s="7">
        <v>1</v>
      </c>
      <c r="I1103" s="7">
        <v>1</v>
      </c>
      <c r="J1103" s="9" t="s">
        <v>77</v>
      </c>
      <c r="K1103" s="7">
        <v>1</v>
      </c>
      <c r="L1103" s="7" t="s">
        <v>38</v>
      </c>
      <c r="M1103" s="7">
        <f t="shared" si="85"/>
        <v>0</v>
      </c>
      <c r="N1103" s="9"/>
      <c r="O1103" s="7"/>
      <c r="P1103" s="9"/>
      <c r="Q1103" s="7"/>
      <c r="R1103" s="7"/>
      <c r="S1103" s="7"/>
      <c r="T1103" s="7"/>
      <c r="U1103" s="7"/>
      <c r="V1103" s="7"/>
      <c r="W1103" s="7"/>
      <c r="X1103" s="7">
        <v>3</v>
      </c>
      <c r="Y1103" s="7"/>
      <c r="Z1103" s="7"/>
      <c r="AA1103" s="7"/>
      <c r="AB1103" s="7">
        <f>(U1103+X1103+Z1103)/3</f>
        <v>1</v>
      </c>
      <c r="AC1103" s="7">
        <f t="shared" si="86"/>
        <v>0</v>
      </c>
      <c r="AD1103" s="7"/>
      <c r="AE1103" s="7"/>
      <c r="AF1103" s="7"/>
      <c r="AG1103" s="7"/>
      <c r="AH1103" s="7"/>
      <c r="AI1103" s="7"/>
      <c r="AJ1103" s="7"/>
      <c r="AK1103" s="7"/>
      <c r="AL1103" s="9"/>
      <c r="AM1103" s="7" t="s">
        <v>71</v>
      </c>
      <c r="AN1103" s="7" t="s">
        <v>71</v>
      </c>
      <c r="AO1103" s="12"/>
    </row>
    <row r="1104" spans="1:41" s="11" customFormat="1" x14ac:dyDescent="0.25">
      <c r="A1104" s="2">
        <v>1103</v>
      </c>
      <c r="B1104" s="7" t="s">
        <v>974</v>
      </c>
      <c r="C1104" s="7" t="s">
        <v>119</v>
      </c>
      <c r="D1104" s="7">
        <v>1</v>
      </c>
      <c r="E1104" s="7">
        <v>1</v>
      </c>
      <c r="F1104" s="8">
        <v>1</v>
      </c>
      <c r="G1104" s="8">
        <v>1</v>
      </c>
      <c r="H1104" s="7">
        <v>1</v>
      </c>
      <c r="I1104" s="7">
        <v>1</v>
      </c>
      <c r="J1104" s="9" t="s">
        <v>77</v>
      </c>
      <c r="K1104" s="7">
        <v>1</v>
      </c>
      <c r="L1104" s="7" t="s">
        <v>38</v>
      </c>
      <c r="M1104" s="7">
        <f t="shared" si="85"/>
        <v>0</v>
      </c>
      <c r="N1104" s="9" t="s">
        <v>34</v>
      </c>
      <c r="O1104" s="7">
        <v>0</v>
      </c>
      <c r="P1104" s="9" t="s">
        <v>63</v>
      </c>
      <c r="Q1104" s="7"/>
      <c r="R1104" s="7" t="s">
        <v>38</v>
      </c>
      <c r="S1104" s="10" t="s">
        <v>2062</v>
      </c>
      <c r="T1104" s="7"/>
      <c r="U1104" s="7"/>
      <c r="V1104" s="7"/>
      <c r="W1104" s="7"/>
      <c r="X1104" s="7"/>
      <c r="Y1104" s="7"/>
      <c r="Z1104" s="7"/>
      <c r="AA1104" s="7"/>
      <c r="AB1104" s="7">
        <v>0.33333333333333298</v>
      </c>
      <c r="AC1104" s="7">
        <f t="shared" si="86"/>
        <v>0</v>
      </c>
      <c r="AD1104" s="7">
        <v>1</v>
      </c>
      <c r="AE1104" s="7"/>
      <c r="AF1104" s="7" t="s">
        <v>40</v>
      </c>
      <c r="AG1104" s="7" t="s">
        <v>980</v>
      </c>
      <c r="AH1104" s="7"/>
      <c r="AI1104" s="7"/>
      <c r="AJ1104" s="7"/>
      <c r="AK1104" s="7"/>
      <c r="AL1104" s="9"/>
      <c r="AM1104" s="7" t="s">
        <v>71</v>
      </c>
      <c r="AN1104" s="7" t="s">
        <v>71</v>
      </c>
      <c r="AO1104" s="12"/>
    </row>
    <row r="1105" spans="1:41" s="11" customFormat="1" x14ac:dyDescent="0.25">
      <c r="A1105" s="2">
        <v>1104</v>
      </c>
      <c r="B1105" s="7" t="s">
        <v>974</v>
      </c>
      <c r="C1105" s="7" t="s">
        <v>78</v>
      </c>
      <c r="D1105" s="7">
        <v>22</v>
      </c>
      <c r="E1105" s="7">
        <v>22</v>
      </c>
      <c r="F1105" s="8">
        <v>1</v>
      </c>
      <c r="G1105" s="8">
        <v>1</v>
      </c>
      <c r="H1105" s="7">
        <v>1</v>
      </c>
      <c r="I1105" s="7">
        <v>1</v>
      </c>
      <c r="J1105" s="9" t="s">
        <v>70</v>
      </c>
      <c r="K1105" s="7">
        <v>1</v>
      </c>
      <c r="L1105" s="7" t="s">
        <v>52</v>
      </c>
      <c r="M1105" s="7">
        <f t="shared" si="85"/>
        <v>1</v>
      </c>
      <c r="N1105" s="9" t="s">
        <v>34</v>
      </c>
      <c r="O1105" s="7">
        <v>0</v>
      </c>
      <c r="P1105" s="9" t="s">
        <v>33</v>
      </c>
      <c r="Q1105" s="7" t="s">
        <v>38</v>
      </c>
      <c r="R1105" s="7" t="s">
        <v>38</v>
      </c>
      <c r="S1105" s="10" t="s">
        <v>1519</v>
      </c>
      <c r="T1105" s="7">
        <v>12</v>
      </c>
      <c r="U1105" s="7">
        <v>12</v>
      </c>
      <c r="V1105" s="7">
        <v>100</v>
      </c>
      <c r="W1105" s="7" t="s">
        <v>88</v>
      </c>
      <c r="X1105" s="7">
        <v>3</v>
      </c>
      <c r="Y1105" s="7"/>
      <c r="Z1105" s="7"/>
      <c r="AA1105" s="7"/>
      <c r="AB1105" s="7">
        <f>(U1105+X1105+Z1105)/3</f>
        <v>5</v>
      </c>
      <c r="AC1105" s="7">
        <f t="shared" si="86"/>
        <v>5</v>
      </c>
      <c r="AD1105" s="7"/>
      <c r="AE1105" s="7"/>
      <c r="AF1105" s="7"/>
      <c r="AG1105" s="7"/>
      <c r="AH1105" s="7"/>
      <c r="AI1105" s="7"/>
      <c r="AJ1105" s="7"/>
      <c r="AK1105" s="10" t="s">
        <v>2469</v>
      </c>
      <c r="AL1105" s="9"/>
      <c r="AM1105" s="7" t="s">
        <v>71</v>
      </c>
      <c r="AN1105" s="7" t="s">
        <v>71</v>
      </c>
      <c r="AO1105" s="12"/>
    </row>
    <row r="1106" spans="1:41" s="11" customFormat="1" x14ac:dyDescent="0.25">
      <c r="A1106" s="2">
        <v>1105</v>
      </c>
      <c r="B1106" s="7" t="s">
        <v>974</v>
      </c>
      <c r="C1106" s="7" t="s">
        <v>119</v>
      </c>
      <c r="D1106" s="7">
        <v>5</v>
      </c>
      <c r="E1106" s="7">
        <v>5</v>
      </c>
      <c r="F1106" s="8">
        <v>1</v>
      </c>
      <c r="G1106" s="8">
        <v>1</v>
      </c>
      <c r="H1106" s="7">
        <v>1</v>
      </c>
      <c r="I1106" s="7">
        <v>1</v>
      </c>
      <c r="J1106" s="9" t="s">
        <v>77</v>
      </c>
      <c r="K1106" s="7">
        <v>1</v>
      </c>
      <c r="L1106" s="7" t="s">
        <v>38</v>
      </c>
      <c r="M1106" s="7">
        <f t="shared" si="85"/>
        <v>0</v>
      </c>
      <c r="N1106" s="9" t="s">
        <v>36</v>
      </c>
      <c r="O1106" s="7">
        <v>0</v>
      </c>
      <c r="P1106" s="9" t="s">
        <v>63</v>
      </c>
      <c r="Q1106" s="7"/>
      <c r="R1106" s="7" t="s">
        <v>38</v>
      </c>
      <c r="S1106" s="7"/>
      <c r="T1106" s="7"/>
      <c r="U1106" s="7"/>
      <c r="V1106" s="7"/>
      <c r="W1106" s="7"/>
      <c r="X1106" s="7"/>
      <c r="Y1106" s="7"/>
      <c r="Z1106" s="7"/>
      <c r="AA1106" s="7"/>
      <c r="AB1106" s="7">
        <v>0.33333333333333298</v>
      </c>
      <c r="AC1106" s="7">
        <f t="shared" si="86"/>
        <v>0</v>
      </c>
      <c r="AD1106" s="7">
        <v>1</v>
      </c>
      <c r="AE1106" s="7"/>
      <c r="AF1106" s="7" t="s">
        <v>40</v>
      </c>
      <c r="AG1106" s="7" t="s">
        <v>981</v>
      </c>
      <c r="AH1106" s="7"/>
      <c r="AI1106" s="7"/>
      <c r="AJ1106" s="7"/>
      <c r="AK1106" s="7"/>
      <c r="AL1106" s="9"/>
      <c r="AM1106" s="7" t="s">
        <v>71</v>
      </c>
      <c r="AN1106" s="7" t="s">
        <v>71</v>
      </c>
      <c r="AO1106" s="12"/>
    </row>
    <row r="1107" spans="1:41" s="11" customFormat="1" x14ac:dyDescent="0.25">
      <c r="A1107" s="2">
        <v>1106</v>
      </c>
      <c r="B1107" s="7" t="s">
        <v>974</v>
      </c>
      <c r="C1107" s="7" t="s">
        <v>100</v>
      </c>
      <c r="D1107" s="7">
        <v>3</v>
      </c>
      <c r="E1107" s="7">
        <v>3</v>
      </c>
      <c r="F1107" s="8">
        <v>1</v>
      </c>
      <c r="G1107" s="8">
        <v>1</v>
      </c>
      <c r="H1107" s="7">
        <v>1</v>
      </c>
      <c r="I1107" s="7">
        <v>1</v>
      </c>
      <c r="J1107" s="9" t="s">
        <v>70</v>
      </c>
      <c r="K1107" s="7">
        <v>1</v>
      </c>
      <c r="L1107" s="7" t="s">
        <v>52</v>
      </c>
      <c r="M1107" s="7">
        <f t="shared" si="85"/>
        <v>1</v>
      </c>
      <c r="N1107" s="9"/>
      <c r="O1107" s="7"/>
      <c r="P1107" s="9"/>
      <c r="Q1107" s="7"/>
      <c r="R1107" s="7"/>
      <c r="S1107" s="7"/>
      <c r="T1107" s="7"/>
      <c r="U1107" s="7"/>
      <c r="V1107" s="7"/>
      <c r="W1107" s="7"/>
      <c r="X1107" s="7">
        <v>3</v>
      </c>
      <c r="Y1107" s="7"/>
      <c r="Z1107" s="7"/>
      <c r="AA1107" s="7"/>
      <c r="AB1107" s="7">
        <f>(U1107+X1107+Z1107)/3</f>
        <v>1</v>
      </c>
      <c r="AC1107" s="7">
        <f t="shared" si="86"/>
        <v>1</v>
      </c>
      <c r="AD1107" s="7"/>
      <c r="AE1107" s="7"/>
      <c r="AF1107" s="7"/>
      <c r="AG1107" s="7"/>
      <c r="AH1107" s="7"/>
      <c r="AI1107" s="7"/>
      <c r="AJ1107" s="7"/>
      <c r="AK1107" s="7"/>
      <c r="AL1107" s="9"/>
      <c r="AM1107" s="7" t="s">
        <v>71</v>
      </c>
      <c r="AN1107" s="7" t="s">
        <v>71</v>
      </c>
      <c r="AO1107" s="12"/>
    </row>
    <row r="1108" spans="1:41" s="11" customFormat="1" x14ac:dyDescent="0.25">
      <c r="A1108" s="2">
        <v>1107</v>
      </c>
      <c r="B1108" s="7" t="s">
        <v>974</v>
      </c>
      <c r="C1108" s="7" t="s">
        <v>89</v>
      </c>
      <c r="D1108" s="7" t="s">
        <v>982</v>
      </c>
      <c r="E1108" s="7">
        <v>22</v>
      </c>
      <c r="F1108" s="8">
        <v>2</v>
      </c>
      <c r="G1108" s="8">
        <v>3</v>
      </c>
      <c r="H1108" s="7" t="s">
        <v>293</v>
      </c>
      <c r="I1108" s="7">
        <v>3</v>
      </c>
      <c r="J1108" s="9" t="s">
        <v>35</v>
      </c>
      <c r="K1108" s="7">
        <v>2</v>
      </c>
      <c r="L1108" s="7" t="s">
        <v>52</v>
      </c>
      <c r="M1108" s="7">
        <f t="shared" si="85"/>
        <v>2</v>
      </c>
      <c r="N1108" s="9"/>
      <c r="O1108" s="7"/>
      <c r="P1108" s="9"/>
      <c r="Q1108" s="7" t="s">
        <v>52</v>
      </c>
      <c r="R1108" s="7" t="s">
        <v>38</v>
      </c>
      <c r="S1108" s="7"/>
      <c r="T1108" s="7"/>
      <c r="U1108" s="7"/>
      <c r="V1108" s="7"/>
      <c r="W1108" s="7"/>
      <c r="X1108" s="7">
        <v>3</v>
      </c>
      <c r="Y1108" s="7"/>
      <c r="Z1108" s="7"/>
      <c r="AA1108" s="7"/>
      <c r="AB1108" s="7">
        <f>(U1108+X1108+Z1108)/3</f>
        <v>1</v>
      </c>
      <c r="AC1108" s="7">
        <f t="shared" si="86"/>
        <v>1</v>
      </c>
      <c r="AD1108" s="7"/>
      <c r="AE1108" s="7"/>
      <c r="AF1108" s="7"/>
      <c r="AG1108" s="7"/>
      <c r="AH1108" s="7"/>
      <c r="AI1108" s="7"/>
      <c r="AJ1108" s="10" t="s">
        <v>2391</v>
      </c>
      <c r="AK1108" s="7"/>
      <c r="AL1108" s="9"/>
      <c r="AM1108" s="7" t="s">
        <v>71</v>
      </c>
      <c r="AN1108" s="7" t="s">
        <v>71</v>
      </c>
      <c r="AO1108" s="12"/>
    </row>
    <row r="1109" spans="1:41" s="11" customFormat="1" x14ac:dyDescent="0.25">
      <c r="A1109" s="2">
        <v>1108</v>
      </c>
      <c r="B1109" s="7" t="s">
        <v>974</v>
      </c>
      <c r="C1109" s="7" t="s">
        <v>100</v>
      </c>
      <c r="D1109" s="7">
        <v>11</v>
      </c>
      <c r="E1109" s="7">
        <v>11</v>
      </c>
      <c r="F1109" s="8">
        <v>1</v>
      </c>
      <c r="G1109" s="8">
        <v>1</v>
      </c>
      <c r="H1109" s="7">
        <v>1</v>
      </c>
      <c r="I1109" s="7">
        <v>1</v>
      </c>
      <c r="J1109" s="9" t="s">
        <v>176</v>
      </c>
      <c r="K1109" s="7">
        <v>2</v>
      </c>
      <c r="L1109" s="7" t="s">
        <v>52</v>
      </c>
      <c r="M1109" s="7">
        <f t="shared" si="85"/>
        <v>1</v>
      </c>
      <c r="N1109" s="9"/>
      <c r="O1109" s="7"/>
      <c r="P1109" s="9"/>
      <c r="Q1109" s="7"/>
      <c r="R1109" s="7"/>
      <c r="S1109" s="7"/>
      <c r="T1109" s="7"/>
      <c r="U1109" s="7"/>
      <c r="V1109" s="7"/>
      <c r="W1109" s="7"/>
      <c r="X1109" s="7">
        <v>3</v>
      </c>
      <c r="Y1109" s="7"/>
      <c r="Z1109" s="7"/>
      <c r="AA1109" s="7"/>
      <c r="AB1109" s="7">
        <f>(U1109+X1109+Z1109)/3</f>
        <v>1</v>
      </c>
      <c r="AC1109" s="7">
        <f t="shared" si="86"/>
        <v>1</v>
      </c>
      <c r="AD1109" s="7"/>
      <c r="AE1109" s="7"/>
      <c r="AF1109" s="7"/>
      <c r="AG1109" s="7"/>
      <c r="AH1109" s="7"/>
      <c r="AI1109" s="7"/>
      <c r="AJ1109" s="7"/>
      <c r="AK1109" s="7"/>
      <c r="AL1109" s="9"/>
      <c r="AM1109" s="7" t="s">
        <v>71</v>
      </c>
      <c r="AN1109" s="7" t="s">
        <v>71</v>
      </c>
      <c r="AO1109" s="12"/>
    </row>
    <row r="1110" spans="1:41" s="11" customFormat="1" x14ac:dyDescent="0.25">
      <c r="A1110" s="2">
        <v>1109</v>
      </c>
      <c r="B1110" s="7" t="s">
        <v>974</v>
      </c>
      <c r="C1110" s="7" t="s">
        <v>50</v>
      </c>
      <c r="D1110" s="7">
        <v>42</v>
      </c>
      <c r="E1110" s="7">
        <v>42</v>
      </c>
      <c r="F1110" s="8">
        <v>1</v>
      </c>
      <c r="G1110" s="8">
        <v>1</v>
      </c>
      <c r="H1110" s="7">
        <v>1</v>
      </c>
      <c r="I1110" s="7">
        <v>1</v>
      </c>
      <c r="J1110" s="9" t="s">
        <v>176</v>
      </c>
      <c r="K1110" s="7">
        <v>3</v>
      </c>
      <c r="L1110" s="7" t="s">
        <v>52</v>
      </c>
      <c r="M1110" s="7">
        <f t="shared" si="85"/>
        <v>1</v>
      </c>
      <c r="N1110" s="9" t="s">
        <v>177</v>
      </c>
      <c r="O1110" s="7">
        <v>0</v>
      </c>
      <c r="P1110" s="9" t="s">
        <v>63</v>
      </c>
      <c r="Q1110" s="7" t="s">
        <v>38</v>
      </c>
      <c r="R1110" s="7" t="s">
        <v>52</v>
      </c>
      <c r="S1110" s="10" t="s">
        <v>1849</v>
      </c>
      <c r="T1110" s="7"/>
      <c r="U1110" s="7"/>
      <c r="V1110" s="7"/>
      <c r="W1110" s="7"/>
      <c r="X1110" s="7"/>
      <c r="Y1110" s="7">
        <v>8</v>
      </c>
      <c r="Z1110" s="7">
        <v>8</v>
      </c>
      <c r="AA1110" s="7" t="s">
        <v>286</v>
      </c>
      <c r="AB1110" s="7">
        <f>(U1110+X1110+Z1110)/3</f>
        <v>2.6666666666666665</v>
      </c>
      <c r="AC1110" s="7">
        <f t="shared" si="86"/>
        <v>2.6666666666666665</v>
      </c>
      <c r="AD1110" s="7"/>
      <c r="AE1110" s="7"/>
      <c r="AF1110" s="7"/>
      <c r="AG1110" s="7"/>
      <c r="AH1110" s="7"/>
      <c r="AI1110" s="7"/>
      <c r="AJ1110" s="7"/>
      <c r="AK1110" s="7"/>
      <c r="AL1110" s="9"/>
      <c r="AM1110" s="7" t="s">
        <v>71</v>
      </c>
      <c r="AN1110" s="7" t="s">
        <v>71</v>
      </c>
      <c r="AO1110" s="12"/>
    </row>
    <row r="1111" spans="1:41" s="11" customFormat="1" x14ac:dyDescent="0.25">
      <c r="A1111" s="2">
        <v>1110</v>
      </c>
      <c r="B1111" s="7" t="s">
        <v>974</v>
      </c>
      <c r="C1111" s="7" t="s">
        <v>577</v>
      </c>
      <c r="D1111" s="7" t="s">
        <v>440</v>
      </c>
      <c r="E1111" s="7">
        <v>28</v>
      </c>
      <c r="F1111" s="8">
        <v>2</v>
      </c>
      <c r="G1111" s="8">
        <v>3</v>
      </c>
      <c r="H1111" s="7" t="s">
        <v>293</v>
      </c>
      <c r="I1111" s="7">
        <v>3</v>
      </c>
      <c r="J1111" s="9" t="s">
        <v>639</v>
      </c>
      <c r="K1111" s="7"/>
      <c r="L1111" s="7" t="s">
        <v>38</v>
      </c>
      <c r="M1111" s="7">
        <f t="shared" si="85"/>
        <v>0</v>
      </c>
      <c r="N1111" s="9"/>
      <c r="O1111" s="7"/>
      <c r="P1111" s="9"/>
      <c r="Q1111" s="7"/>
      <c r="R1111" s="7"/>
      <c r="S1111" s="7"/>
      <c r="T1111" s="7"/>
      <c r="U1111" s="7"/>
      <c r="V1111" s="7"/>
      <c r="W1111" s="7"/>
      <c r="X1111" s="7"/>
      <c r="Y1111" s="7"/>
      <c r="Z1111" s="7"/>
      <c r="AA1111" s="7"/>
      <c r="AB1111" s="7">
        <v>0.33333333333333298</v>
      </c>
      <c r="AC1111" s="7">
        <f t="shared" si="86"/>
        <v>0</v>
      </c>
      <c r="AD1111" s="7"/>
      <c r="AE1111" s="7"/>
      <c r="AF1111" s="7"/>
      <c r="AG1111" s="7"/>
      <c r="AH1111" s="7"/>
      <c r="AI1111" s="7"/>
      <c r="AJ1111" s="7"/>
      <c r="AK1111" s="7"/>
      <c r="AL1111" s="9"/>
      <c r="AM1111" s="7"/>
      <c r="AN1111" s="7"/>
      <c r="AO1111" s="15" t="s">
        <v>2627</v>
      </c>
    </row>
    <row r="1112" spans="1:41" s="11" customFormat="1" ht="24" x14ac:dyDescent="0.25">
      <c r="A1112" s="2">
        <v>1111</v>
      </c>
      <c r="B1112" s="7" t="s">
        <v>983</v>
      </c>
      <c r="C1112" s="7" t="s">
        <v>245</v>
      </c>
      <c r="D1112" s="7">
        <v>35</v>
      </c>
      <c r="E1112" s="7">
        <v>35</v>
      </c>
      <c r="F1112" s="8">
        <v>1</v>
      </c>
      <c r="G1112" s="8">
        <v>1</v>
      </c>
      <c r="H1112" s="7">
        <v>1</v>
      </c>
      <c r="I1112" s="7">
        <v>1</v>
      </c>
      <c r="J1112" s="9" t="s">
        <v>35</v>
      </c>
      <c r="K1112" s="7">
        <v>1</v>
      </c>
      <c r="L1112" s="7" t="s">
        <v>52</v>
      </c>
      <c r="M1112" s="7">
        <f t="shared" si="85"/>
        <v>1</v>
      </c>
      <c r="N1112" s="9" t="s">
        <v>34</v>
      </c>
      <c r="O1112" s="7">
        <v>0</v>
      </c>
      <c r="P1112" s="9" t="s">
        <v>63</v>
      </c>
      <c r="Q1112" s="7" t="s">
        <v>38</v>
      </c>
      <c r="R1112" s="7" t="s">
        <v>38</v>
      </c>
      <c r="S1112" s="7"/>
      <c r="T1112" s="7">
        <v>10</v>
      </c>
      <c r="U1112" s="7">
        <v>10</v>
      </c>
      <c r="V1112" s="7">
        <v>190</v>
      </c>
      <c r="W1112" s="7" t="s">
        <v>239</v>
      </c>
      <c r="X1112" s="7"/>
      <c r="Y1112" s="7"/>
      <c r="Z1112" s="7"/>
      <c r="AA1112" s="7"/>
      <c r="AB1112" s="7">
        <f>(U1112+X1112+Z1112)/3</f>
        <v>3.3333333333333335</v>
      </c>
      <c r="AC1112" s="7">
        <f t="shared" si="86"/>
        <v>3.3333333333333335</v>
      </c>
      <c r="AD1112" s="7"/>
      <c r="AE1112" s="7">
        <v>1</v>
      </c>
      <c r="AF1112" s="7" t="s">
        <v>40</v>
      </c>
      <c r="AG1112" s="7" t="s">
        <v>984</v>
      </c>
      <c r="AH1112" s="7"/>
      <c r="AI1112" s="7"/>
      <c r="AJ1112" s="7"/>
      <c r="AK1112" s="7"/>
      <c r="AL1112" s="9"/>
      <c r="AM1112" s="7" t="s">
        <v>650</v>
      </c>
      <c r="AN1112" s="7" t="s">
        <v>2848</v>
      </c>
      <c r="AO1112" s="12"/>
    </row>
    <row r="1113" spans="1:41" s="11" customFormat="1" x14ac:dyDescent="0.25">
      <c r="A1113" s="2">
        <v>1112</v>
      </c>
      <c r="B1113" s="7" t="s">
        <v>983</v>
      </c>
      <c r="C1113" s="7" t="s">
        <v>104</v>
      </c>
      <c r="D1113" s="7">
        <v>8</v>
      </c>
      <c r="E1113" s="7">
        <v>8</v>
      </c>
      <c r="F1113" s="8">
        <v>1</v>
      </c>
      <c r="G1113" s="8">
        <v>1</v>
      </c>
      <c r="H1113" s="7">
        <v>1</v>
      </c>
      <c r="I1113" s="7">
        <v>1</v>
      </c>
      <c r="J1113" s="9" t="s">
        <v>35</v>
      </c>
      <c r="K1113" s="7">
        <v>1</v>
      </c>
      <c r="L1113" s="7" t="s">
        <v>52</v>
      </c>
      <c r="M1113" s="7">
        <f t="shared" si="85"/>
        <v>1</v>
      </c>
      <c r="N1113" s="9" t="s">
        <v>36</v>
      </c>
      <c r="O1113" s="7">
        <v>0</v>
      </c>
      <c r="P1113" s="9" t="s">
        <v>63</v>
      </c>
      <c r="Q1113" s="7" t="s">
        <v>38</v>
      </c>
      <c r="R1113" s="7" t="s">
        <v>38</v>
      </c>
      <c r="S1113" s="7"/>
      <c r="T1113" s="7"/>
      <c r="U1113" s="7"/>
      <c r="V1113" s="7"/>
      <c r="W1113" s="7"/>
      <c r="X1113" s="7">
        <v>3</v>
      </c>
      <c r="Y1113" s="7"/>
      <c r="Z1113" s="7"/>
      <c r="AA1113" s="7"/>
      <c r="AB1113" s="7">
        <f>(U1113+X1113+Z1113)/3</f>
        <v>1</v>
      </c>
      <c r="AC1113" s="7">
        <f t="shared" si="86"/>
        <v>1</v>
      </c>
      <c r="AD1113" s="7"/>
      <c r="AE1113" s="7">
        <v>1</v>
      </c>
      <c r="AF1113" s="7" t="s">
        <v>40</v>
      </c>
      <c r="AG1113" s="7" t="s">
        <v>247</v>
      </c>
      <c r="AH1113" s="7"/>
      <c r="AI1113" s="7"/>
      <c r="AJ1113" s="7"/>
      <c r="AK1113" s="7"/>
      <c r="AL1113" s="9"/>
      <c r="AM1113" s="7" t="s">
        <v>71</v>
      </c>
      <c r="AN1113" s="7" t="s">
        <v>71</v>
      </c>
      <c r="AO1113" s="12"/>
    </row>
    <row r="1114" spans="1:41" s="11" customFormat="1" x14ac:dyDescent="0.25">
      <c r="A1114" s="2">
        <v>1113</v>
      </c>
      <c r="B1114" s="7" t="s">
        <v>983</v>
      </c>
      <c r="C1114" s="7"/>
      <c r="D1114" s="7"/>
      <c r="E1114" s="7"/>
      <c r="F1114" s="9"/>
      <c r="G1114" s="9"/>
      <c r="H1114" s="7"/>
      <c r="I1114" s="7"/>
      <c r="J1114" s="9"/>
      <c r="K1114" s="7"/>
      <c r="L1114" s="7"/>
      <c r="M1114" s="7">
        <f t="shared" si="85"/>
        <v>0</v>
      </c>
      <c r="N1114" s="9"/>
      <c r="O1114" s="7"/>
      <c r="P1114" s="9"/>
      <c r="Q1114" s="7"/>
      <c r="R1114" s="7"/>
      <c r="S1114" s="7"/>
      <c r="T1114" s="7"/>
      <c r="U1114" s="7"/>
      <c r="V1114" s="7"/>
      <c r="W1114" s="7"/>
      <c r="X1114" s="7"/>
      <c r="Y1114" s="7"/>
      <c r="Z1114" s="7"/>
      <c r="AA1114" s="7"/>
      <c r="AB1114" s="7">
        <v>0.33333333333333298</v>
      </c>
      <c r="AC1114" s="7">
        <f t="shared" si="86"/>
        <v>0</v>
      </c>
      <c r="AD1114" s="7"/>
      <c r="AE1114" s="7"/>
      <c r="AF1114" s="7"/>
      <c r="AG1114" s="7"/>
      <c r="AH1114" s="7"/>
      <c r="AI1114" s="7"/>
      <c r="AJ1114" s="7"/>
      <c r="AK1114" s="7"/>
      <c r="AL1114" s="9"/>
      <c r="AM1114" s="7"/>
      <c r="AN1114" s="7"/>
      <c r="AO1114" s="15" t="s">
        <v>2577</v>
      </c>
    </row>
    <row r="1115" spans="1:41" s="11" customFormat="1" x14ac:dyDescent="0.25">
      <c r="A1115" s="2">
        <v>1114</v>
      </c>
      <c r="B1115" s="7" t="s">
        <v>974</v>
      </c>
      <c r="C1115" s="7" t="s">
        <v>104</v>
      </c>
      <c r="D1115" s="7">
        <v>6</v>
      </c>
      <c r="E1115" s="7">
        <v>6</v>
      </c>
      <c r="F1115" s="8">
        <v>1</v>
      </c>
      <c r="G1115" s="8">
        <v>1</v>
      </c>
      <c r="H1115" s="7">
        <v>1</v>
      </c>
      <c r="I1115" s="7">
        <v>1</v>
      </c>
      <c r="J1115" s="9" t="s">
        <v>35</v>
      </c>
      <c r="K1115" s="7">
        <v>1</v>
      </c>
      <c r="L1115" s="7" t="s">
        <v>52</v>
      </c>
      <c r="M1115" s="7">
        <f t="shared" si="85"/>
        <v>1</v>
      </c>
      <c r="N1115" s="9" t="s">
        <v>82</v>
      </c>
      <c r="O1115" s="7">
        <v>0</v>
      </c>
      <c r="P1115" s="9" t="s">
        <v>36</v>
      </c>
      <c r="Q1115" s="7" t="s">
        <v>38</v>
      </c>
      <c r="R1115" s="7" t="s">
        <v>38</v>
      </c>
      <c r="S1115" s="7"/>
      <c r="T1115" s="7"/>
      <c r="U1115" s="7"/>
      <c r="V1115" s="7"/>
      <c r="W1115" s="7"/>
      <c r="X1115" s="7">
        <v>3</v>
      </c>
      <c r="Y1115" s="7"/>
      <c r="Z1115" s="7"/>
      <c r="AA1115" s="7"/>
      <c r="AB1115" s="7">
        <f>(U1115+X1115+Z1115)/3</f>
        <v>1</v>
      </c>
      <c r="AC1115" s="7">
        <f t="shared" si="86"/>
        <v>1</v>
      </c>
      <c r="AD1115" s="7"/>
      <c r="AE1115" s="7">
        <v>1</v>
      </c>
      <c r="AF1115" s="7"/>
      <c r="AG1115" s="7" t="s">
        <v>301</v>
      </c>
      <c r="AH1115" s="7" t="s">
        <v>38</v>
      </c>
      <c r="AI1115" s="7"/>
      <c r="AJ1115" s="7"/>
      <c r="AK1115" s="7"/>
      <c r="AL1115" s="9"/>
      <c r="AM1115" s="7" t="s">
        <v>71</v>
      </c>
      <c r="AN1115" s="7" t="s">
        <v>71</v>
      </c>
      <c r="AO1115" s="12"/>
    </row>
    <row r="1116" spans="1:41" s="11" customFormat="1" x14ac:dyDescent="0.25">
      <c r="A1116" s="2">
        <v>1115</v>
      </c>
      <c r="B1116" s="7" t="s">
        <v>974</v>
      </c>
      <c r="C1116" s="7" t="s">
        <v>89</v>
      </c>
      <c r="D1116" s="7" t="s">
        <v>985</v>
      </c>
      <c r="E1116" s="7">
        <v>41</v>
      </c>
      <c r="F1116" s="8">
        <v>2</v>
      </c>
      <c r="G1116" s="8">
        <v>2</v>
      </c>
      <c r="H1116" s="7" t="s">
        <v>87</v>
      </c>
      <c r="I1116" s="7">
        <v>2</v>
      </c>
      <c r="J1116" s="9" t="s">
        <v>219</v>
      </c>
      <c r="K1116" s="7">
        <v>1</v>
      </c>
      <c r="L1116" s="7" t="s">
        <v>52</v>
      </c>
      <c r="M1116" s="7">
        <f t="shared" si="85"/>
        <v>2</v>
      </c>
      <c r="N1116" s="9"/>
      <c r="O1116" s="7"/>
      <c r="P1116" s="9"/>
      <c r="Q1116" s="7"/>
      <c r="R1116" s="7"/>
      <c r="S1116" s="7"/>
      <c r="T1116" s="7"/>
      <c r="U1116" s="7"/>
      <c r="V1116" s="7"/>
      <c r="W1116" s="7"/>
      <c r="X1116" s="7">
        <v>3</v>
      </c>
      <c r="Y1116" s="7"/>
      <c r="Z1116" s="7"/>
      <c r="AA1116" s="7"/>
      <c r="AB1116" s="7">
        <f>(U1116+X1116+Z1116)/3</f>
        <v>1</v>
      </c>
      <c r="AC1116" s="7">
        <f t="shared" si="86"/>
        <v>1</v>
      </c>
      <c r="AD1116" s="7"/>
      <c r="AE1116" s="7"/>
      <c r="AF1116" s="7"/>
      <c r="AG1116" s="7"/>
      <c r="AH1116" s="7"/>
      <c r="AI1116" s="7"/>
      <c r="AJ1116" s="7"/>
      <c r="AK1116" s="7"/>
      <c r="AL1116" s="9"/>
      <c r="AM1116" s="7" t="s">
        <v>71</v>
      </c>
      <c r="AN1116" s="7" t="s">
        <v>71</v>
      </c>
      <c r="AO1116" s="12"/>
    </row>
    <row r="1117" spans="1:41" s="11" customFormat="1" x14ac:dyDescent="0.25">
      <c r="A1117" s="2">
        <v>1116</v>
      </c>
      <c r="B1117" s="7" t="s">
        <v>974</v>
      </c>
      <c r="C1117" s="7" t="s">
        <v>100</v>
      </c>
      <c r="D1117" s="7">
        <v>12</v>
      </c>
      <c r="E1117" s="7">
        <v>12</v>
      </c>
      <c r="F1117" s="8">
        <v>1</v>
      </c>
      <c r="G1117" s="8">
        <v>1</v>
      </c>
      <c r="H1117" s="7">
        <v>1</v>
      </c>
      <c r="I1117" s="7">
        <v>1</v>
      </c>
      <c r="J1117" s="9" t="s">
        <v>639</v>
      </c>
      <c r="K1117" s="7"/>
      <c r="L1117" s="7" t="s">
        <v>38</v>
      </c>
      <c r="M1117" s="7">
        <f t="shared" si="85"/>
        <v>0</v>
      </c>
      <c r="N1117" s="9"/>
      <c r="O1117" s="7"/>
      <c r="P1117" s="9"/>
      <c r="Q1117" s="7"/>
      <c r="R1117" s="7"/>
      <c r="S1117" s="7"/>
      <c r="T1117" s="7"/>
      <c r="U1117" s="7"/>
      <c r="V1117" s="7"/>
      <c r="W1117" s="7"/>
      <c r="X1117" s="7"/>
      <c r="Y1117" s="7"/>
      <c r="Z1117" s="7"/>
      <c r="AA1117" s="7"/>
      <c r="AB1117" s="7">
        <v>0.33333333333333298</v>
      </c>
      <c r="AC1117" s="7">
        <f t="shared" si="86"/>
        <v>0</v>
      </c>
      <c r="AD1117" s="7"/>
      <c r="AE1117" s="7"/>
      <c r="AF1117" s="7"/>
      <c r="AG1117" s="7"/>
      <c r="AH1117" s="7"/>
      <c r="AI1117" s="7"/>
      <c r="AJ1117" s="7"/>
      <c r="AK1117" s="7"/>
      <c r="AL1117" s="9"/>
      <c r="AM1117" s="7"/>
      <c r="AN1117" s="7"/>
      <c r="AO1117" s="15" t="s">
        <v>2628</v>
      </c>
    </row>
    <row r="1118" spans="1:41" s="11" customFormat="1" x14ac:dyDescent="0.25">
      <c r="A1118" s="2">
        <v>1117</v>
      </c>
      <c r="B1118" s="7" t="s">
        <v>370</v>
      </c>
      <c r="C1118" s="7" t="s">
        <v>78</v>
      </c>
      <c r="D1118" s="7">
        <v>15</v>
      </c>
      <c r="E1118" s="7">
        <v>15</v>
      </c>
      <c r="F1118" s="8">
        <v>1</v>
      </c>
      <c r="G1118" s="8">
        <v>1</v>
      </c>
      <c r="H1118" s="7">
        <v>1</v>
      </c>
      <c r="I1118" s="7">
        <v>1</v>
      </c>
      <c r="J1118" s="9" t="s">
        <v>35</v>
      </c>
      <c r="K1118" s="7">
        <v>1</v>
      </c>
      <c r="L1118" s="7" t="s">
        <v>52</v>
      </c>
      <c r="M1118" s="7">
        <f t="shared" si="85"/>
        <v>1</v>
      </c>
      <c r="N1118" s="9" t="s">
        <v>34</v>
      </c>
      <c r="O1118" s="7">
        <v>0</v>
      </c>
      <c r="P1118" s="9" t="s">
        <v>33</v>
      </c>
      <c r="Q1118" s="7" t="s">
        <v>38</v>
      </c>
      <c r="R1118" s="7" t="s">
        <v>38</v>
      </c>
      <c r="S1118" s="7"/>
      <c r="T1118" s="7">
        <v>7</v>
      </c>
      <c r="U1118" s="7">
        <v>7</v>
      </c>
      <c r="V1118" s="7">
        <v>150</v>
      </c>
      <c r="W1118" s="7" t="s">
        <v>88</v>
      </c>
      <c r="X1118" s="7"/>
      <c r="Y1118" s="7"/>
      <c r="Z1118" s="7"/>
      <c r="AA1118" s="7"/>
      <c r="AB1118" s="7">
        <f>(U1118+X1118+Z1118)/3</f>
        <v>2.3333333333333335</v>
      </c>
      <c r="AC1118" s="7">
        <f t="shared" si="86"/>
        <v>2.3333333333333335</v>
      </c>
      <c r="AD1118" s="7"/>
      <c r="AE1118" s="7"/>
      <c r="AF1118" s="7"/>
      <c r="AG1118" s="7"/>
      <c r="AH1118" s="7"/>
      <c r="AI1118" s="7"/>
      <c r="AJ1118" s="7"/>
      <c r="AK1118" s="7"/>
      <c r="AL1118" s="9"/>
      <c r="AM1118" s="7" t="s">
        <v>71</v>
      </c>
      <c r="AN1118" s="7" t="s">
        <v>71</v>
      </c>
      <c r="AO1118" s="12"/>
    </row>
    <row r="1119" spans="1:41" s="11" customFormat="1" x14ac:dyDescent="0.25">
      <c r="A1119" s="2">
        <v>1118</v>
      </c>
      <c r="B1119" s="7" t="s">
        <v>370</v>
      </c>
      <c r="C1119" s="7" t="s">
        <v>104</v>
      </c>
      <c r="D1119" s="7">
        <v>13</v>
      </c>
      <c r="E1119" s="7">
        <v>13</v>
      </c>
      <c r="F1119" s="8">
        <v>1</v>
      </c>
      <c r="G1119" s="8">
        <v>1</v>
      </c>
      <c r="H1119" s="7">
        <v>1</v>
      </c>
      <c r="I1119" s="7">
        <v>1</v>
      </c>
      <c r="J1119" s="9" t="s">
        <v>35</v>
      </c>
      <c r="K1119" s="7">
        <v>2</v>
      </c>
      <c r="L1119" s="7" t="s">
        <v>52</v>
      </c>
      <c r="M1119" s="7">
        <f t="shared" si="85"/>
        <v>1</v>
      </c>
      <c r="N1119" s="9" t="s">
        <v>34</v>
      </c>
      <c r="O1119" s="7">
        <v>0</v>
      </c>
      <c r="P1119" s="9" t="s">
        <v>33</v>
      </c>
      <c r="Q1119" s="7" t="s">
        <v>38</v>
      </c>
      <c r="R1119" s="7" t="s">
        <v>38</v>
      </c>
      <c r="S1119" s="10" t="s">
        <v>1556</v>
      </c>
      <c r="T1119" s="7"/>
      <c r="U1119" s="7"/>
      <c r="V1119" s="7"/>
      <c r="W1119" s="7"/>
      <c r="X1119" s="7">
        <v>3</v>
      </c>
      <c r="Y1119" s="7"/>
      <c r="Z1119" s="7"/>
      <c r="AA1119" s="7"/>
      <c r="AB1119" s="7">
        <f>(U1119+X1119+Z1119)/3</f>
        <v>1</v>
      </c>
      <c r="AC1119" s="7">
        <f t="shared" si="86"/>
        <v>1</v>
      </c>
      <c r="AD1119" s="7"/>
      <c r="AE1119" s="7">
        <v>1</v>
      </c>
      <c r="AF1119" s="7" t="s">
        <v>40</v>
      </c>
      <c r="AG1119" s="7"/>
      <c r="AH1119" s="7"/>
      <c r="AI1119" s="7"/>
      <c r="AJ1119" s="7"/>
      <c r="AK1119" s="10" t="s">
        <v>2470</v>
      </c>
      <c r="AL1119" s="9"/>
      <c r="AM1119" s="7" t="s">
        <v>71</v>
      </c>
      <c r="AN1119" s="7" t="s">
        <v>71</v>
      </c>
      <c r="AO1119" s="12"/>
    </row>
    <row r="1120" spans="1:41" s="11" customFormat="1" x14ac:dyDescent="0.25">
      <c r="A1120" s="2">
        <v>1119</v>
      </c>
      <c r="B1120" s="7" t="s">
        <v>370</v>
      </c>
      <c r="C1120" s="7" t="s">
        <v>119</v>
      </c>
      <c r="D1120" s="7">
        <v>6</v>
      </c>
      <c r="E1120" s="7">
        <v>6</v>
      </c>
      <c r="F1120" s="8">
        <v>1</v>
      </c>
      <c r="G1120" s="8">
        <v>1</v>
      </c>
      <c r="H1120" s="7">
        <v>1</v>
      </c>
      <c r="I1120" s="7">
        <v>1</v>
      </c>
      <c r="J1120" s="9" t="s">
        <v>35</v>
      </c>
      <c r="K1120" s="7">
        <v>1</v>
      </c>
      <c r="L1120" s="7" t="s">
        <v>52</v>
      </c>
      <c r="M1120" s="7">
        <f t="shared" si="85"/>
        <v>1</v>
      </c>
      <c r="N1120" s="9" t="s">
        <v>36</v>
      </c>
      <c r="O1120" s="7">
        <v>0</v>
      </c>
      <c r="P1120" s="9" t="s">
        <v>37</v>
      </c>
      <c r="Q1120" s="7" t="s">
        <v>38</v>
      </c>
      <c r="R1120" s="7" t="s">
        <v>38</v>
      </c>
      <c r="S1120" s="7" t="s">
        <v>307</v>
      </c>
      <c r="T1120" s="7"/>
      <c r="U1120" s="7"/>
      <c r="V1120" s="7"/>
      <c r="W1120" s="7"/>
      <c r="X1120" s="7"/>
      <c r="Y1120" s="7"/>
      <c r="Z1120" s="7"/>
      <c r="AA1120" s="7"/>
      <c r="AB1120" s="7">
        <v>0.33333333333333298</v>
      </c>
      <c r="AC1120" s="7">
        <f t="shared" si="86"/>
        <v>0.33333333333333298</v>
      </c>
      <c r="AD1120" s="7">
        <v>1</v>
      </c>
      <c r="AE1120" s="7"/>
      <c r="AF1120" s="7" t="s">
        <v>40</v>
      </c>
      <c r="AG1120" s="7" t="s">
        <v>742</v>
      </c>
      <c r="AH1120" s="7"/>
      <c r="AI1120" s="7"/>
      <c r="AJ1120" s="7"/>
      <c r="AK1120" s="7"/>
      <c r="AL1120" s="9"/>
      <c r="AM1120" s="7" t="s">
        <v>71</v>
      </c>
      <c r="AN1120" s="7" t="s">
        <v>71</v>
      </c>
      <c r="AO1120" s="12"/>
    </row>
    <row r="1121" spans="1:41" s="11" customFormat="1" x14ac:dyDescent="0.25">
      <c r="A1121" s="2">
        <v>1120</v>
      </c>
      <c r="B1121" s="7" t="s">
        <v>370</v>
      </c>
      <c r="C1121" s="7" t="s">
        <v>104</v>
      </c>
      <c r="D1121" s="7">
        <v>4</v>
      </c>
      <c r="E1121" s="7">
        <v>4</v>
      </c>
      <c r="F1121" s="8">
        <v>1</v>
      </c>
      <c r="G1121" s="8">
        <v>1</v>
      </c>
      <c r="H1121" s="7">
        <v>1</v>
      </c>
      <c r="I1121" s="7">
        <v>1</v>
      </c>
      <c r="J1121" s="9" t="s">
        <v>35</v>
      </c>
      <c r="K1121" s="7">
        <v>2</v>
      </c>
      <c r="L1121" s="7" t="s">
        <v>52</v>
      </c>
      <c r="M1121" s="7">
        <f t="shared" si="85"/>
        <v>1</v>
      </c>
      <c r="N1121" s="9" t="s">
        <v>34</v>
      </c>
      <c r="O1121" s="7">
        <v>0</v>
      </c>
      <c r="P1121" s="9" t="s">
        <v>63</v>
      </c>
      <c r="Q1121" s="7" t="s">
        <v>38</v>
      </c>
      <c r="R1121" s="7" t="s">
        <v>38</v>
      </c>
      <c r="S1121" s="7"/>
      <c r="T1121" s="7"/>
      <c r="U1121" s="7"/>
      <c r="V1121" s="7"/>
      <c r="W1121" s="7"/>
      <c r="X1121" s="7">
        <v>3</v>
      </c>
      <c r="Y1121" s="7"/>
      <c r="Z1121" s="7"/>
      <c r="AA1121" s="7"/>
      <c r="AB1121" s="7">
        <f>(U1121+X1121+Z1121)/3</f>
        <v>1</v>
      </c>
      <c r="AC1121" s="7">
        <f t="shared" si="86"/>
        <v>1</v>
      </c>
      <c r="AD1121" s="7"/>
      <c r="AE1121" s="7">
        <v>1</v>
      </c>
      <c r="AF1121" s="7" t="s">
        <v>40</v>
      </c>
      <c r="AG1121" s="7" t="s">
        <v>301</v>
      </c>
      <c r="AH1121" s="7" t="s">
        <v>38</v>
      </c>
      <c r="AI1121" s="7"/>
      <c r="AJ1121" s="7"/>
      <c r="AK1121" s="7"/>
      <c r="AL1121" s="9"/>
      <c r="AM1121" s="7" t="s">
        <v>71</v>
      </c>
      <c r="AN1121" s="7" t="s">
        <v>71</v>
      </c>
      <c r="AO1121" s="12"/>
    </row>
    <row r="1122" spans="1:41" s="11" customFormat="1" x14ac:dyDescent="0.25">
      <c r="A1122" s="2">
        <v>1121</v>
      </c>
      <c r="B1122" s="7" t="s">
        <v>370</v>
      </c>
      <c r="C1122" s="7" t="s">
        <v>89</v>
      </c>
      <c r="D1122" s="7" t="s">
        <v>986</v>
      </c>
      <c r="E1122" s="7">
        <v>40</v>
      </c>
      <c r="F1122" s="8">
        <v>2</v>
      </c>
      <c r="G1122" s="8">
        <v>3</v>
      </c>
      <c r="H1122" s="7" t="s">
        <v>293</v>
      </c>
      <c r="I1122" s="7">
        <v>3</v>
      </c>
      <c r="J1122" s="9" t="s">
        <v>35</v>
      </c>
      <c r="K1122" s="7">
        <v>2</v>
      </c>
      <c r="L1122" s="7" t="s">
        <v>52</v>
      </c>
      <c r="M1122" s="7">
        <f t="shared" si="85"/>
        <v>2</v>
      </c>
      <c r="N1122" s="9"/>
      <c r="O1122" s="7"/>
      <c r="P1122" s="9"/>
      <c r="Q1122" s="7"/>
      <c r="R1122" s="7"/>
      <c r="S1122" s="7"/>
      <c r="T1122" s="7"/>
      <c r="U1122" s="7"/>
      <c r="V1122" s="7"/>
      <c r="W1122" s="7"/>
      <c r="X1122" s="7">
        <v>3</v>
      </c>
      <c r="Y1122" s="7"/>
      <c r="Z1122" s="7"/>
      <c r="AA1122" s="7"/>
      <c r="AB1122" s="7">
        <f>(U1122+X1122+Z1122)/3</f>
        <v>1</v>
      </c>
      <c r="AC1122" s="7">
        <f t="shared" si="86"/>
        <v>1</v>
      </c>
      <c r="AD1122" s="7"/>
      <c r="AE1122" s="7"/>
      <c r="AF1122" s="7"/>
      <c r="AG1122" s="7"/>
      <c r="AH1122" s="7"/>
      <c r="AI1122" s="7"/>
      <c r="AJ1122" s="7"/>
      <c r="AK1122" s="7"/>
      <c r="AL1122" s="9"/>
      <c r="AM1122" s="7" t="s">
        <v>71</v>
      </c>
      <c r="AN1122" s="7" t="s">
        <v>71</v>
      </c>
      <c r="AO1122" s="12"/>
    </row>
    <row r="1123" spans="1:41" s="11" customFormat="1" x14ac:dyDescent="0.25">
      <c r="A1123" s="2">
        <v>1122</v>
      </c>
      <c r="B1123" s="7" t="s">
        <v>370</v>
      </c>
      <c r="C1123" s="7" t="s">
        <v>100</v>
      </c>
      <c r="D1123" s="7">
        <v>3</v>
      </c>
      <c r="E1123" s="7">
        <v>3</v>
      </c>
      <c r="F1123" s="8">
        <v>1</v>
      </c>
      <c r="G1123" s="8">
        <v>1</v>
      </c>
      <c r="H1123" s="7">
        <v>1</v>
      </c>
      <c r="I1123" s="7">
        <v>1</v>
      </c>
      <c r="J1123" s="9" t="s">
        <v>35</v>
      </c>
      <c r="K1123" s="7">
        <v>1</v>
      </c>
      <c r="L1123" s="7" t="s">
        <v>52</v>
      </c>
      <c r="M1123" s="7">
        <f t="shared" si="85"/>
        <v>1</v>
      </c>
      <c r="N1123" s="9"/>
      <c r="O1123" s="7"/>
      <c r="P1123" s="9"/>
      <c r="Q1123" s="7"/>
      <c r="R1123" s="7"/>
      <c r="S1123" s="7"/>
      <c r="T1123" s="7"/>
      <c r="U1123" s="7"/>
      <c r="V1123" s="7"/>
      <c r="W1123" s="7"/>
      <c r="X1123" s="7">
        <v>3</v>
      </c>
      <c r="Y1123" s="7"/>
      <c r="Z1123" s="7"/>
      <c r="AA1123" s="7"/>
      <c r="AB1123" s="7">
        <f>(U1123+X1123+Z1123)/3</f>
        <v>1</v>
      </c>
      <c r="AC1123" s="7">
        <f t="shared" si="86"/>
        <v>1</v>
      </c>
      <c r="AD1123" s="7"/>
      <c r="AE1123" s="7"/>
      <c r="AF1123" s="7"/>
      <c r="AG1123" s="7"/>
      <c r="AH1123" s="7"/>
      <c r="AI1123" s="7"/>
      <c r="AJ1123" s="7"/>
      <c r="AK1123" s="7"/>
      <c r="AL1123" s="9"/>
      <c r="AM1123" s="7" t="s">
        <v>71</v>
      </c>
      <c r="AN1123" s="7" t="s">
        <v>71</v>
      </c>
      <c r="AO1123" s="12"/>
    </row>
    <row r="1124" spans="1:41" s="11" customFormat="1" x14ac:dyDescent="0.25">
      <c r="A1124" s="2">
        <v>1123</v>
      </c>
      <c r="B1124" s="7" t="s">
        <v>370</v>
      </c>
      <c r="C1124" s="7" t="s">
        <v>100</v>
      </c>
      <c r="D1124" s="7">
        <v>5</v>
      </c>
      <c r="E1124" s="7">
        <v>5</v>
      </c>
      <c r="F1124" s="8">
        <v>1</v>
      </c>
      <c r="G1124" s="8">
        <v>1</v>
      </c>
      <c r="H1124" s="7">
        <v>1</v>
      </c>
      <c r="I1124" s="7">
        <v>1</v>
      </c>
      <c r="J1124" s="9" t="s">
        <v>176</v>
      </c>
      <c r="K1124" s="7">
        <v>7</v>
      </c>
      <c r="L1124" s="7" t="s">
        <v>52</v>
      </c>
      <c r="M1124" s="7">
        <f t="shared" si="85"/>
        <v>1</v>
      </c>
      <c r="N1124" s="9"/>
      <c r="O1124" s="7"/>
      <c r="P1124" s="9"/>
      <c r="Q1124" s="7"/>
      <c r="R1124" s="7"/>
      <c r="S1124" s="7"/>
      <c r="T1124" s="7"/>
      <c r="U1124" s="7"/>
      <c r="V1124" s="7"/>
      <c r="W1124" s="7"/>
      <c r="X1124" s="7">
        <v>3</v>
      </c>
      <c r="Y1124" s="7"/>
      <c r="Z1124" s="7"/>
      <c r="AA1124" s="7"/>
      <c r="AB1124" s="7">
        <f>(U1124+X1124+Z1124)/3</f>
        <v>1</v>
      </c>
      <c r="AC1124" s="7">
        <f t="shared" si="86"/>
        <v>1</v>
      </c>
      <c r="AD1124" s="7"/>
      <c r="AE1124" s="7"/>
      <c r="AF1124" s="7"/>
      <c r="AG1124" s="7"/>
      <c r="AH1124" s="7"/>
      <c r="AI1124" s="7"/>
      <c r="AJ1124" s="7"/>
      <c r="AK1124" s="7"/>
      <c r="AL1124" s="9"/>
      <c r="AM1124" s="7" t="s">
        <v>71</v>
      </c>
      <c r="AN1124" s="7" t="s">
        <v>71</v>
      </c>
      <c r="AO1124" s="12"/>
    </row>
    <row r="1125" spans="1:41" s="11" customFormat="1" x14ac:dyDescent="0.25">
      <c r="A1125" s="2">
        <v>1124</v>
      </c>
      <c r="B1125" s="7" t="s">
        <v>370</v>
      </c>
      <c r="C1125" s="7" t="s">
        <v>89</v>
      </c>
      <c r="D1125" s="7">
        <v>81</v>
      </c>
      <c r="E1125" s="7">
        <v>81</v>
      </c>
      <c r="F1125" s="8">
        <v>11</v>
      </c>
      <c r="G1125" s="8">
        <v>11</v>
      </c>
      <c r="H1125" s="7" t="s">
        <v>752</v>
      </c>
      <c r="I1125" s="7">
        <v>11</v>
      </c>
      <c r="J1125" s="9" t="s">
        <v>639</v>
      </c>
      <c r="K1125" s="7"/>
      <c r="L1125" s="7" t="s">
        <v>38</v>
      </c>
      <c r="M1125" s="7">
        <f t="shared" si="85"/>
        <v>0</v>
      </c>
      <c r="N1125" s="9"/>
      <c r="O1125" s="7"/>
      <c r="P1125" s="9"/>
      <c r="Q1125" s="7"/>
      <c r="R1125" s="7"/>
      <c r="S1125" s="7"/>
      <c r="T1125" s="7"/>
      <c r="U1125" s="7"/>
      <c r="V1125" s="7"/>
      <c r="W1125" s="7"/>
      <c r="X1125" s="7"/>
      <c r="Y1125" s="7"/>
      <c r="Z1125" s="7"/>
      <c r="AA1125" s="7"/>
      <c r="AB1125" s="7">
        <v>0.33333333333333298</v>
      </c>
      <c r="AC1125" s="7">
        <f t="shared" si="86"/>
        <v>0</v>
      </c>
      <c r="AD1125" s="7"/>
      <c r="AE1125" s="7"/>
      <c r="AF1125" s="7"/>
      <c r="AG1125" s="7"/>
      <c r="AH1125" s="7"/>
      <c r="AI1125" s="7"/>
      <c r="AJ1125" s="7"/>
      <c r="AK1125" s="7"/>
      <c r="AL1125" s="9"/>
      <c r="AM1125" s="7"/>
      <c r="AN1125" s="7"/>
      <c r="AO1125" s="15" t="s">
        <v>2629</v>
      </c>
    </row>
    <row r="1126" spans="1:41" s="11" customFormat="1" x14ac:dyDescent="0.25">
      <c r="A1126" s="2">
        <v>1125</v>
      </c>
      <c r="B1126" s="7" t="s">
        <v>370</v>
      </c>
      <c r="C1126" s="7" t="s">
        <v>100</v>
      </c>
      <c r="D1126" s="7">
        <v>13</v>
      </c>
      <c r="E1126" s="7">
        <v>13</v>
      </c>
      <c r="F1126" s="8">
        <v>1</v>
      </c>
      <c r="G1126" s="8">
        <v>1</v>
      </c>
      <c r="H1126" s="7">
        <v>1</v>
      </c>
      <c r="I1126" s="7">
        <v>1</v>
      </c>
      <c r="J1126" s="7" t="s">
        <v>353</v>
      </c>
      <c r="K1126" s="7"/>
      <c r="L1126" s="7" t="s">
        <v>38</v>
      </c>
      <c r="M1126" s="7">
        <f t="shared" si="85"/>
        <v>0</v>
      </c>
      <c r="N1126" s="9"/>
      <c r="O1126" s="7"/>
      <c r="P1126" s="9"/>
      <c r="Q1126" s="7"/>
      <c r="R1126" s="7"/>
      <c r="S1126" s="7"/>
      <c r="T1126" s="7"/>
      <c r="U1126" s="7"/>
      <c r="V1126" s="7"/>
      <c r="W1126" s="7"/>
      <c r="X1126" s="7">
        <v>3</v>
      </c>
      <c r="Y1126" s="7"/>
      <c r="Z1126" s="7"/>
      <c r="AA1126" s="7"/>
      <c r="AB1126" s="7">
        <f>(U1126+X1126+Z1126)/3</f>
        <v>1</v>
      </c>
      <c r="AC1126" s="7">
        <f t="shared" si="86"/>
        <v>0</v>
      </c>
      <c r="AD1126" s="7"/>
      <c r="AE1126" s="7"/>
      <c r="AF1126" s="7"/>
      <c r="AG1126" s="7"/>
      <c r="AH1126" s="7"/>
      <c r="AI1126" s="7"/>
      <c r="AJ1126" s="7"/>
      <c r="AK1126" s="7"/>
      <c r="AL1126" s="9"/>
      <c r="AM1126" s="7" t="s">
        <v>71</v>
      </c>
      <c r="AN1126" s="7" t="s">
        <v>71</v>
      </c>
      <c r="AO1126" s="12"/>
    </row>
    <row r="1127" spans="1:41" s="11" customFormat="1" ht="24" x14ac:dyDescent="0.25">
      <c r="A1127" s="2">
        <v>1126</v>
      </c>
      <c r="B1127" s="7" t="s">
        <v>987</v>
      </c>
      <c r="C1127" s="7" t="s">
        <v>89</v>
      </c>
      <c r="D1127" s="7">
        <v>5</v>
      </c>
      <c r="E1127" s="7">
        <v>5</v>
      </c>
      <c r="F1127" s="8">
        <v>1</v>
      </c>
      <c r="G1127" s="8">
        <v>1</v>
      </c>
      <c r="H1127" s="7">
        <v>1</v>
      </c>
      <c r="I1127" s="7">
        <v>1</v>
      </c>
      <c r="J1127" s="9" t="s">
        <v>77</v>
      </c>
      <c r="K1127" s="7">
        <v>1</v>
      </c>
      <c r="L1127" s="7" t="s">
        <v>38</v>
      </c>
      <c r="M1127" s="7">
        <f t="shared" si="85"/>
        <v>0</v>
      </c>
      <c r="N1127" s="9" t="s">
        <v>36</v>
      </c>
      <c r="O1127" s="7">
        <v>0</v>
      </c>
      <c r="P1127" s="9" t="s">
        <v>63</v>
      </c>
      <c r="Q1127" s="7" t="s">
        <v>38</v>
      </c>
      <c r="R1127" s="7" t="s">
        <v>38</v>
      </c>
      <c r="S1127" s="7"/>
      <c r="T1127" s="7"/>
      <c r="U1127" s="7"/>
      <c r="V1127" s="7"/>
      <c r="W1127" s="7"/>
      <c r="X1127" s="7">
        <v>3</v>
      </c>
      <c r="Y1127" s="7"/>
      <c r="Z1127" s="7"/>
      <c r="AA1127" s="7"/>
      <c r="AB1127" s="7">
        <f>(U1127+X1127+Z1127)/3</f>
        <v>1</v>
      </c>
      <c r="AC1127" s="7">
        <f t="shared" si="86"/>
        <v>0</v>
      </c>
      <c r="AD1127" s="7"/>
      <c r="AE1127" s="7"/>
      <c r="AF1127" s="7"/>
      <c r="AG1127" s="7"/>
      <c r="AH1127" s="7"/>
      <c r="AI1127" s="7"/>
      <c r="AJ1127" s="7"/>
      <c r="AK1127" s="10" t="s">
        <v>2471</v>
      </c>
      <c r="AL1127" s="9"/>
      <c r="AM1127" s="7" t="s">
        <v>42</v>
      </c>
      <c r="AN1127" s="7" t="s">
        <v>42</v>
      </c>
      <c r="AO1127" s="15" t="s">
        <v>2630</v>
      </c>
    </row>
    <row r="1128" spans="1:41" s="11" customFormat="1" x14ac:dyDescent="0.25">
      <c r="A1128" s="2">
        <v>1127</v>
      </c>
      <c r="B1128" s="7" t="s">
        <v>987</v>
      </c>
      <c r="C1128" s="7" t="s">
        <v>249</v>
      </c>
      <c r="D1128" s="7" t="s">
        <v>988</v>
      </c>
      <c r="E1128" s="7">
        <v>12</v>
      </c>
      <c r="F1128" s="8">
        <v>2</v>
      </c>
      <c r="G1128" s="8">
        <v>2</v>
      </c>
      <c r="H1128" s="7" t="s">
        <v>87</v>
      </c>
      <c r="I1128" s="7">
        <v>2</v>
      </c>
      <c r="J1128" s="9" t="s">
        <v>77</v>
      </c>
      <c r="K1128" s="7">
        <v>1</v>
      </c>
      <c r="L1128" s="7" t="s">
        <v>38</v>
      </c>
      <c r="M1128" s="7">
        <f t="shared" si="85"/>
        <v>0</v>
      </c>
      <c r="N1128" s="9" t="s">
        <v>34</v>
      </c>
      <c r="O1128" s="7">
        <v>0</v>
      </c>
      <c r="P1128" s="9" t="s">
        <v>37</v>
      </c>
      <c r="Q1128" s="7" t="s">
        <v>38</v>
      </c>
      <c r="R1128" s="7" t="s">
        <v>38</v>
      </c>
      <c r="S1128" s="10" t="s">
        <v>2063</v>
      </c>
      <c r="T1128" s="7"/>
      <c r="U1128" s="7"/>
      <c r="V1128" s="7"/>
      <c r="W1128" s="7"/>
      <c r="X1128" s="7">
        <v>3</v>
      </c>
      <c r="Y1128" s="7"/>
      <c r="Z1128" s="7"/>
      <c r="AA1128" s="7"/>
      <c r="AB1128" s="7">
        <f>(U1128+X1128+Z1128)/3</f>
        <v>1</v>
      </c>
      <c r="AC1128" s="7">
        <f t="shared" si="86"/>
        <v>0</v>
      </c>
      <c r="AD1128" s="7"/>
      <c r="AE1128" s="7"/>
      <c r="AF1128" s="7"/>
      <c r="AG1128" s="7"/>
      <c r="AH1128" s="7"/>
      <c r="AI1128" s="7"/>
      <c r="AJ1128" s="7"/>
      <c r="AK1128" s="7"/>
      <c r="AL1128" s="9"/>
      <c r="AM1128" s="7" t="s">
        <v>71</v>
      </c>
      <c r="AN1128" s="7" t="s">
        <v>71</v>
      </c>
      <c r="AO1128" s="12"/>
    </row>
    <row r="1129" spans="1:41" s="11" customFormat="1" x14ac:dyDescent="0.25">
      <c r="A1129" s="2">
        <v>1128</v>
      </c>
      <c r="B1129" s="7" t="s">
        <v>987</v>
      </c>
      <c r="C1129" s="7" t="s">
        <v>104</v>
      </c>
      <c r="D1129" s="7">
        <v>8</v>
      </c>
      <c r="E1129" s="7">
        <v>8</v>
      </c>
      <c r="F1129" s="8">
        <v>1</v>
      </c>
      <c r="G1129" s="8">
        <v>1</v>
      </c>
      <c r="H1129" s="7">
        <v>1</v>
      </c>
      <c r="I1129" s="7">
        <v>1</v>
      </c>
      <c r="J1129" s="9" t="s">
        <v>77</v>
      </c>
      <c r="K1129" s="7">
        <v>1</v>
      </c>
      <c r="L1129" s="7" t="s">
        <v>38</v>
      </c>
      <c r="M1129" s="7">
        <f t="shared" si="85"/>
        <v>0</v>
      </c>
      <c r="N1129" s="9" t="s">
        <v>34</v>
      </c>
      <c r="O1129" s="7">
        <v>0</v>
      </c>
      <c r="P1129" s="9" t="s">
        <v>33</v>
      </c>
      <c r="Q1129" s="7" t="s">
        <v>52</v>
      </c>
      <c r="R1129" s="7" t="s">
        <v>38</v>
      </c>
      <c r="S1129" s="7"/>
      <c r="T1129" s="7"/>
      <c r="U1129" s="7"/>
      <c r="V1129" s="7"/>
      <c r="W1129" s="7"/>
      <c r="X1129" s="7">
        <v>3</v>
      </c>
      <c r="Y1129" s="7"/>
      <c r="Z1129" s="7"/>
      <c r="AA1129" s="7"/>
      <c r="AB1129" s="7">
        <f>(U1129+X1129+Z1129)/3</f>
        <v>1</v>
      </c>
      <c r="AC1129" s="7">
        <f t="shared" si="86"/>
        <v>0</v>
      </c>
      <c r="AD1129" s="7"/>
      <c r="AE1129" s="7"/>
      <c r="AF1129" s="7"/>
      <c r="AG1129" s="7"/>
      <c r="AH1129" s="7"/>
      <c r="AI1129" s="7"/>
      <c r="AJ1129" s="7"/>
      <c r="AK1129" s="7"/>
      <c r="AL1129" s="9"/>
      <c r="AM1129" s="7" t="s">
        <v>71</v>
      </c>
      <c r="AN1129" s="7" t="s">
        <v>71</v>
      </c>
      <c r="AO1129" s="12"/>
    </row>
    <row r="1130" spans="1:41" s="11" customFormat="1" x14ac:dyDescent="0.25">
      <c r="A1130" s="2">
        <v>1129</v>
      </c>
      <c r="B1130" s="7" t="s">
        <v>987</v>
      </c>
      <c r="C1130" s="7" t="s">
        <v>119</v>
      </c>
      <c r="D1130" s="7">
        <v>3</v>
      </c>
      <c r="E1130" s="7">
        <v>3</v>
      </c>
      <c r="F1130" s="8">
        <v>1</v>
      </c>
      <c r="G1130" s="8">
        <v>1</v>
      </c>
      <c r="H1130" s="7">
        <v>1</v>
      </c>
      <c r="I1130" s="7">
        <v>1</v>
      </c>
      <c r="J1130" s="9" t="s">
        <v>77</v>
      </c>
      <c r="K1130" s="7">
        <v>1</v>
      </c>
      <c r="L1130" s="7" t="s">
        <v>38</v>
      </c>
      <c r="M1130" s="7">
        <f t="shared" si="85"/>
        <v>0</v>
      </c>
      <c r="N1130" s="9" t="s">
        <v>82</v>
      </c>
      <c r="O1130" s="7">
        <v>0</v>
      </c>
      <c r="P1130" s="9" t="s">
        <v>63</v>
      </c>
      <c r="Q1130" s="7"/>
      <c r="R1130" s="7" t="s">
        <v>38</v>
      </c>
      <c r="S1130" s="7" t="s">
        <v>307</v>
      </c>
      <c r="T1130" s="7"/>
      <c r="U1130" s="7"/>
      <c r="V1130" s="7"/>
      <c r="W1130" s="7"/>
      <c r="X1130" s="7"/>
      <c r="Y1130" s="7"/>
      <c r="Z1130" s="7"/>
      <c r="AA1130" s="7"/>
      <c r="AB1130" s="7">
        <v>0.33333333333333298</v>
      </c>
      <c r="AC1130" s="7">
        <f t="shared" si="86"/>
        <v>0</v>
      </c>
      <c r="AD1130" s="7">
        <v>1</v>
      </c>
      <c r="AE1130" s="7"/>
      <c r="AF1130" s="7" t="s">
        <v>40</v>
      </c>
      <c r="AG1130" s="7" t="s">
        <v>989</v>
      </c>
      <c r="AH1130" s="7"/>
      <c r="AI1130" s="7"/>
      <c r="AJ1130" s="7"/>
      <c r="AK1130" s="7"/>
      <c r="AL1130" s="9"/>
      <c r="AM1130" s="7" t="s">
        <v>71</v>
      </c>
      <c r="AN1130" s="7" t="s">
        <v>71</v>
      </c>
      <c r="AO1130" s="12"/>
    </row>
    <row r="1131" spans="1:41" s="11" customFormat="1" x14ac:dyDescent="0.25">
      <c r="A1131" s="2">
        <v>1130</v>
      </c>
      <c r="B1131" s="7" t="s">
        <v>987</v>
      </c>
      <c r="C1131" s="7" t="s">
        <v>100</v>
      </c>
      <c r="D1131" s="7">
        <v>2</v>
      </c>
      <c r="E1131" s="7">
        <v>2</v>
      </c>
      <c r="F1131" s="8">
        <v>1</v>
      </c>
      <c r="G1131" s="8">
        <v>1</v>
      </c>
      <c r="H1131" s="7">
        <v>1</v>
      </c>
      <c r="I1131" s="7">
        <v>1</v>
      </c>
      <c r="J1131" s="9" t="s">
        <v>77</v>
      </c>
      <c r="K1131" s="7">
        <v>1</v>
      </c>
      <c r="L1131" s="7" t="s">
        <v>38</v>
      </c>
      <c r="M1131" s="7">
        <f t="shared" si="85"/>
        <v>0</v>
      </c>
      <c r="N1131" s="9"/>
      <c r="O1131" s="7"/>
      <c r="P1131" s="9"/>
      <c r="Q1131" s="7"/>
      <c r="R1131" s="7"/>
      <c r="S1131" s="7"/>
      <c r="T1131" s="7"/>
      <c r="U1131" s="7"/>
      <c r="V1131" s="7"/>
      <c r="W1131" s="7"/>
      <c r="X1131" s="7">
        <v>3</v>
      </c>
      <c r="Y1131" s="7"/>
      <c r="Z1131" s="7"/>
      <c r="AA1131" s="7"/>
      <c r="AB1131" s="7">
        <f t="shared" ref="AB1131:AB1145" si="87">(U1131+X1131+Z1131)/3</f>
        <v>1</v>
      </c>
      <c r="AC1131" s="7">
        <f t="shared" si="86"/>
        <v>0</v>
      </c>
      <c r="AD1131" s="7"/>
      <c r="AE1131" s="7"/>
      <c r="AF1131" s="7"/>
      <c r="AG1131" s="7"/>
      <c r="AH1131" s="7"/>
      <c r="AI1131" s="7"/>
      <c r="AJ1131" s="7"/>
      <c r="AK1131" s="7"/>
      <c r="AL1131" s="9"/>
      <c r="AM1131" s="7" t="s">
        <v>71</v>
      </c>
      <c r="AN1131" s="7" t="s">
        <v>71</v>
      </c>
      <c r="AO1131" s="12"/>
    </row>
    <row r="1132" spans="1:41" s="11" customFormat="1" x14ac:dyDescent="0.25">
      <c r="A1132" s="2">
        <v>1131</v>
      </c>
      <c r="B1132" s="7" t="s">
        <v>987</v>
      </c>
      <c r="C1132" s="7" t="s">
        <v>50</v>
      </c>
      <c r="D1132" s="7">
        <v>9</v>
      </c>
      <c r="E1132" s="7">
        <v>9</v>
      </c>
      <c r="F1132" s="8">
        <v>1</v>
      </c>
      <c r="G1132" s="8">
        <v>1</v>
      </c>
      <c r="H1132" s="7">
        <v>1</v>
      </c>
      <c r="I1132" s="7">
        <v>1</v>
      </c>
      <c r="J1132" s="9" t="s">
        <v>70</v>
      </c>
      <c r="K1132" s="7">
        <v>1</v>
      </c>
      <c r="L1132" s="7" t="s">
        <v>52</v>
      </c>
      <c r="M1132" s="7">
        <f t="shared" si="85"/>
        <v>1</v>
      </c>
      <c r="N1132" s="9" t="s">
        <v>36</v>
      </c>
      <c r="O1132" s="7">
        <v>0</v>
      </c>
      <c r="P1132" s="9" t="s">
        <v>34</v>
      </c>
      <c r="Q1132" s="7" t="s">
        <v>38</v>
      </c>
      <c r="R1132" s="7"/>
      <c r="S1132" s="10" t="s">
        <v>1492</v>
      </c>
      <c r="T1132" s="7"/>
      <c r="U1132" s="7"/>
      <c r="V1132" s="7"/>
      <c r="W1132" s="7"/>
      <c r="X1132" s="7"/>
      <c r="Y1132" s="7">
        <v>10</v>
      </c>
      <c r="Z1132" s="7">
        <v>10</v>
      </c>
      <c r="AA1132" s="7" t="s">
        <v>76</v>
      </c>
      <c r="AB1132" s="7">
        <f t="shared" si="87"/>
        <v>3.3333333333333335</v>
      </c>
      <c r="AC1132" s="7">
        <f t="shared" si="86"/>
        <v>3.3333333333333335</v>
      </c>
      <c r="AD1132" s="7"/>
      <c r="AE1132" s="7"/>
      <c r="AF1132" s="7"/>
      <c r="AG1132" s="7"/>
      <c r="AH1132" s="7"/>
      <c r="AI1132" s="7"/>
      <c r="AJ1132" s="7"/>
      <c r="AK1132" s="7"/>
      <c r="AL1132" s="9"/>
      <c r="AM1132" s="7" t="s">
        <v>71</v>
      </c>
      <c r="AN1132" s="7" t="s">
        <v>71</v>
      </c>
      <c r="AO1132" s="15" t="s">
        <v>2631</v>
      </c>
    </row>
    <row r="1133" spans="1:41" s="11" customFormat="1" x14ac:dyDescent="0.25">
      <c r="A1133" s="2">
        <v>1132</v>
      </c>
      <c r="B1133" s="7" t="s">
        <v>987</v>
      </c>
      <c r="C1133" s="7" t="s">
        <v>89</v>
      </c>
      <c r="D1133" s="7" t="s">
        <v>200</v>
      </c>
      <c r="E1133" s="7">
        <v>7</v>
      </c>
      <c r="F1133" s="8">
        <v>2</v>
      </c>
      <c r="G1133" s="8">
        <v>2</v>
      </c>
      <c r="H1133" s="7" t="s">
        <v>87</v>
      </c>
      <c r="I1133" s="7">
        <v>2</v>
      </c>
      <c r="J1133" s="9" t="s">
        <v>70</v>
      </c>
      <c r="K1133" s="7">
        <v>1</v>
      </c>
      <c r="L1133" s="7" t="s">
        <v>52</v>
      </c>
      <c r="M1133" s="7">
        <f t="shared" si="85"/>
        <v>2</v>
      </c>
      <c r="N1133" s="9"/>
      <c r="O1133" s="7"/>
      <c r="P1133" s="9"/>
      <c r="Q1133" s="7"/>
      <c r="R1133" s="7"/>
      <c r="S1133" s="7"/>
      <c r="T1133" s="7"/>
      <c r="U1133" s="7"/>
      <c r="V1133" s="7"/>
      <c r="W1133" s="7"/>
      <c r="X1133" s="7">
        <v>3</v>
      </c>
      <c r="Y1133" s="7"/>
      <c r="Z1133" s="7"/>
      <c r="AA1133" s="7"/>
      <c r="AB1133" s="7">
        <f t="shared" si="87"/>
        <v>1</v>
      </c>
      <c r="AC1133" s="7">
        <f t="shared" si="86"/>
        <v>1</v>
      </c>
      <c r="AD1133" s="7"/>
      <c r="AE1133" s="7"/>
      <c r="AF1133" s="7"/>
      <c r="AG1133" s="7"/>
      <c r="AH1133" s="7"/>
      <c r="AI1133" s="7"/>
      <c r="AJ1133" s="7"/>
      <c r="AK1133" s="7"/>
      <c r="AL1133" s="9"/>
      <c r="AM1133" s="7" t="s">
        <v>71</v>
      </c>
      <c r="AN1133" s="7" t="s">
        <v>71</v>
      </c>
      <c r="AO1133" s="12"/>
    </row>
    <row r="1134" spans="1:41" s="11" customFormat="1" ht="24" x14ac:dyDescent="0.25">
      <c r="A1134" s="2">
        <v>1133</v>
      </c>
      <c r="B1134" s="7" t="s">
        <v>987</v>
      </c>
      <c r="C1134" s="7" t="s">
        <v>78</v>
      </c>
      <c r="D1134" s="7" t="s">
        <v>410</v>
      </c>
      <c r="E1134" s="7">
        <v>15</v>
      </c>
      <c r="F1134" s="8">
        <v>1</v>
      </c>
      <c r="G1134" s="8">
        <v>2</v>
      </c>
      <c r="H1134" s="7">
        <v>2</v>
      </c>
      <c r="I1134" s="7">
        <v>2</v>
      </c>
      <c r="J1134" s="9" t="s">
        <v>35</v>
      </c>
      <c r="K1134" s="7">
        <v>1</v>
      </c>
      <c r="L1134" s="7" t="s">
        <v>52</v>
      </c>
      <c r="M1134" s="7">
        <f t="shared" si="85"/>
        <v>1</v>
      </c>
      <c r="N1134" s="9" t="s">
        <v>36</v>
      </c>
      <c r="O1134" s="7">
        <v>0</v>
      </c>
      <c r="P1134" s="9" t="s">
        <v>33</v>
      </c>
      <c r="Q1134" s="7" t="s">
        <v>38</v>
      </c>
      <c r="R1134" s="7" t="s">
        <v>38</v>
      </c>
      <c r="S1134" s="10" t="s">
        <v>1753</v>
      </c>
      <c r="T1134" s="7">
        <v>10</v>
      </c>
      <c r="U1134" s="7">
        <v>10</v>
      </c>
      <c r="V1134" s="7">
        <v>150</v>
      </c>
      <c r="W1134" s="7" t="s">
        <v>244</v>
      </c>
      <c r="X1134" s="7"/>
      <c r="Y1134" s="7"/>
      <c r="Z1134" s="7"/>
      <c r="AA1134" s="7"/>
      <c r="AB1134" s="7">
        <f t="shared" si="87"/>
        <v>3.3333333333333335</v>
      </c>
      <c r="AC1134" s="7">
        <f t="shared" si="86"/>
        <v>3.3333333333333335</v>
      </c>
      <c r="AD1134" s="7"/>
      <c r="AE1134" s="7"/>
      <c r="AF1134" s="7"/>
      <c r="AG1134" s="7"/>
      <c r="AH1134" s="7"/>
      <c r="AI1134" s="7"/>
      <c r="AJ1134" s="7"/>
      <c r="AK1134" s="7"/>
      <c r="AL1134" s="9"/>
      <c r="AM1134" s="7" t="s">
        <v>137</v>
      </c>
      <c r="AN1134" s="7" t="s">
        <v>2848</v>
      </c>
      <c r="AO1134" s="15" t="s">
        <v>2632</v>
      </c>
    </row>
    <row r="1135" spans="1:41" s="11" customFormat="1" ht="24" x14ac:dyDescent="0.25">
      <c r="A1135" s="2">
        <v>1134</v>
      </c>
      <c r="B1135" s="7" t="s">
        <v>987</v>
      </c>
      <c r="C1135" s="7" t="s">
        <v>78</v>
      </c>
      <c r="D1135" s="7">
        <v>3</v>
      </c>
      <c r="E1135" s="7">
        <v>3</v>
      </c>
      <c r="F1135" s="8">
        <v>1</v>
      </c>
      <c r="G1135" s="8">
        <v>1</v>
      </c>
      <c r="H1135" s="7">
        <v>1</v>
      </c>
      <c r="I1135" s="7">
        <v>1</v>
      </c>
      <c r="J1135" s="9" t="s">
        <v>35</v>
      </c>
      <c r="K1135" s="7">
        <v>2</v>
      </c>
      <c r="L1135" s="7" t="s">
        <v>52</v>
      </c>
      <c r="M1135" s="7">
        <f t="shared" si="85"/>
        <v>1</v>
      </c>
      <c r="N1135" s="9" t="s">
        <v>36</v>
      </c>
      <c r="O1135" s="7">
        <v>0</v>
      </c>
      <c r="P1135" s="9" t="s">
        <v>37</v>
      </c>
      <c r="Q1135" s="7" t="s">
        <v>38</v>
      </c>
      <c r="R1135" s="7" t="s">
        <v>38</v>
      </c>
      <c r="S1135" s="10" t="s">
        <v>2000</v>
      </c>
      <c r="T1135" s="7">
        <v>5</v>
      </c>
      <c r="U1135" s="7">
        <v>5</v>
      </c>
      <c r="V1135" s="7">
        <v>90</v>
      </c>
      <c r="W1135" s="7" t="s">
        <v>83</v>
      </c>
      <c r="X1135" s="7"/>
      <c r="Y1135" s="7"/>
      <c r="Z1135" s="7"/>
      <c r="AA1135" s="7"/>
      <c r="AB1135" s="7">
        <f t="shared" si="87"/>
        <v>1.6666666666666667</v>
      </c>
      <c r="AC1135" s="7">
        <f t="shared" si="86"/>
        <v>1.6666666666666667</v>
      </c>
      <c r="AD1135" s="7"/>
      <c r="AE1135" s="7"/>
      <c r="AF1135" s="7"/>
      <c r="AG1135" s="7"/>
      <c r="AH1135" s="7"/>
      <c r="AI1135" s="7"/>
      <c r="AJ1135" s="7"/>
      <c r="AK1135" s="7"/>
      <c r="AL1135" s="9"/>
      <c r="AM1135" s="7" t="s">
        <v>42</v>
      </c>
      <c r="AN1135" s="7" t="s">
        <v>42</v>
      </c>
      <c r="AO1135" s="12"/>
    </row>
    <row r="1136" spans="1:41" s="11" customFormat="1" ht="24" x14ac:dyDescent="0.25">
      <c r="A1136" s="2">
        <v>1135</v>
      </c>
      <c r="B1136" s="7" t="s">
        <v>987</v>
      </c>
      <c r="C1136" s="7" t="s">
        <v>78</v>
      </c>
      <c r="D1136" s="7" t="s">
        <v>203</v>
      </c>
      <c r="E1136" s="7">
        <v>6</v>
      </c>
      <c r="F1136" s="8">
        <v>1</v>
      </c>
      <c r="G1136" s="8">
        <v>2</v>
      </c>
      <c r="H1136" s="7" t="s">
        <v>87</v>
      </c>
      <c r="I1136" s="7">
        <v>2</v>
      </c>
      <c r="J1136" s="9" t="s">
        <v>35</v>
      </c>
      <c r="K1136" s="7">
        <v>2</v>
      </c>
      <c r="L1136" s="7" t="s">
        <v>52</v>
      </c>
      <c r="M1136" s="7">
        <f t="shared" si="85"/>
        <v>1</v>
      </c>
      <c r="N1136" s="9" t="s">
        <v>34</v>
      </c>
      <c r="O1136" s="7">
        <v>2</v>
      </c>
      <c r="P1136" s="9" t="s">
        <v>63</v>
      </c>
      <c r="Q1136" s="7" t="s">
        <v>38</v>
      </c>
      <c r="R1136" s="7" t="s">
        <v>38</v>
      </c>
      <c r="S1136" s="10" t="s">
        <v>2064</v>
      </c>
      <c r="T1136" s="7" t="s">
        <v>746</v>
      </c>
      <c r="U1136" s="7">
        <v>7</v>
      </c>
      <c r="V1136" s="7" t="s">
        <v>403</v>
      </c>
      <c r="W1136" s="7" t="s">
        <v>990</v>
      </c>
      <c r="X1136" s="7"/>
      <c r="Y1136" s="7"/>
      <c r="Z1136" s="7"/>
      <c r="AA1136" s="7"/>
      <c r="AB1136" s="7">
        <f t="shared" si="87"/>
        <v>2.3333333333333335</v>
      </c>
      <c r="AC1136" s="7">
        <f t="shared" si="86"/>
        <v>2.3333333333333335</v>
      </c>
      <c r="AD1136" s="7"/>
      <c r="AE1136" s="7"/>
      <c r="AF1136" s="7"/>
      <c r="AG1136" s="7"/>
      <c r="AH1136" s="7"/>
      <c r="AI1136" s="7"/>
      <c r="AJ1136" s="7"/>
      <c r="AK1136" s="7"/>
      <c r="AL1136" s="9"/>
      <c r="AM1136" s="7" t="s">
        <v>71</v>
      </c>
      <c r="AN1136" s="7" t="s">
        <v>71</v>
      </c>
      <c r="AO1136" s="15" t="s">
        <v>2632</v>
      </c>
    </row>
    <row r="1137" spans="1:41" s="11" customFormat="1" x14ac:dyDescent="0.25">
      <c r="A1137" s="2">
        <v>1136</v>
      </c>
      <c r="B1137" s="7" t="s">
        <v>987</v>
      </c>
      <c r="C1137" s="7" t="s">
        <v>78</v>
      </c>
      <c r="D1137" s="7">
        <v>4</v>
      </c>
      <c r="E1137" s="7">
        <v>4</v>
      </c>
      <c r="F1137" s="8">
        <v>1</v>
      </c>
      <c r="G1137" s="8">
        <v>1</v>
      </c>
      <c r="H1137" s="7">
        <v>1</v>
      </c>
      <c r="I1137" s="7">
        <v>1</v>
      </c>
      <c r="J1137" s="9" t="s">
        <v>35</v>
      </c>
      <c r="K1137" s="7">
        <v>1</v>
      </c>
      <c r="L1137" s="7" t="s">
        <v>52</v>
      </c>
      <c r="M1137" s="7">
        <f t="shared" si="85"/>
        <v>1</v>
      </c>
      <c r="N1137" s="9" t="s">
        <v>34</v>
      </c>
      <c r="O1137" s="7">
        <v>1</v>
      </c>
      <c r="P1137" s="9" t="s">
        <v>63</v>
      </c>
      <c r="Q1137" s="7" t="s">
        <v>38</v>
      </c>
      <c r="R1137" s="7" t="s">
        <v>38</v>
      </c>
      <c r="S1137" s="10" t="s">
        <v>1581</v>
      </c>
      <c r="T1137" s="7">
        <v>5</v>
      </c>
      <c r="U1137" s="7">
        <v>5</v>
      </c>
      <c r="V1137" s="7">
        <v>120</v>
      </c>
      <c r="W1137" s="7" t="s">
        <v>673</v>
      </c>
      <c r="X1137" s="7"/>
      <c r="Y1137" s="7"/>
      <c r="Z1137" s="7"/>
      <c r="AA1137" s="7"/>
      <c r="AB1137" s="7">
        <f t="shared" si="87"/>
        <v>1.6666666666666667</v>
      </c>
      <c r="AC1137" s="7">
        <f t="shared" si="86"/>
        <v>1.6666666666666667</v>
      </c>
      <c r="AD1137" s="7"/>
      <c r="AE1137" s="7"/>
      <c r="AF1137" s="7"/>
      <c r="AG1137" s="7"/>
      <c r="AH1137" s="7"/>
      <c r="AI1137" s="7"/>
      <c r="AJ1137" s="7"/>
      <c r="AK1137" s="7"/>
      <c r="AL1137" s="9"/>
      <c r="AM1137" s="7" t="s">
        <v>71</v>
      </c>
      <c r="AN1137" s="7" t="s">
        <v>71</v>
      </c>
      <c r="AO1137" s="12"/>
    </row>
    <row r="1138" spans="1:41" s="11" customFormat="1" ht="24" x14ac:dyDescent="0.25">
      <c r="A1138" s="2">
        <v>1137</v>
      </c>
      <c r="B1138" s="7" t="s">
        <v>987</v>
      </c>
      <c r="C1138" s="7" t="s">
        <v>78</v>
      </c>
      <c r="D1138" s="7">
        <v>5</v>
      </c>
      <c r="E1138" s="7">
        <v>5</v>
      </c>
      <c r="F1138" s="8">
        <v>1</v>
      </c>
      <c r="G1138" s="8">
        <v>1</v>
      </c>
      <c r="H1138" s="7">
        <v>1</v>
      </c>
      <c r="I1138" s="7">
        <v>1</v>
      </c>
      <c r="J1138" s="9" t="s">
        <v>35</v>
      </c>
      <c r="K1138" s="7">
        <v>1</v>
      </c>
      <c r="L1138" s="7" t="s">
        <v>52</v>
      </c>
      <c r="M1138" s="7">
        <f t="shared" si="85"/>
        <v>1</v>
      </c>
      <c r="N1138" s="9" t="s">
        <v>36</v>
      </c>
      <c r="O1138" s="7">
        <v>0</v>
      </c>
      <c r="P1138" s="9" t="s">
        <v>37</v>
      </c>
      <c r="Q1138" s="7" t="s">
        <v>38</v>
      </c>
      <c r="R1138" s="7" t="s">
        <v>38</v>
      </c>
      <c r="S1138" s="10" t="s">
        <v>2065</v>
      </c>
      <c r="T1138" s="7">
        <v>5</v>
      </c>
      <c r="U1138" s="7">
        <v>5</v>
      </c>
      <c r="V1138" s="7">
        <v>140</v>
      </c>
      <c r="W1138" s="7" t="s">
        <v>991</v>
      </c>
      <c r="X1138" s="7"/>
      <c r="Y1138" s="7"/>
      <c r="Z1138" s="7"/>
      <c r="AA1138" s="7"/>
      <c r="AB1138" s="7">
        <f t="shared" si="87"/>
        <v>1.6666666666666667</v>
      </c>
      <c r="AC1138" s="7">
        <f t="shared" si="86"/>
        <v>1.6666666666666667</v>
      </c>
      <c r="AD1138" s="7"/>
      <c r="AE1138" s="7"/>
      <c r="AF1138" s="7"/>
      <c r="AG1138" s="7"/>
      <c r="AH1138" s="7"/>
      <c r="AI1138" s="7"/>
      <c r="AJ1138" s="7"/>
      <c r="AK1138" s="7"/>
      <c r="AL1138" s="9"/>
      <c r="AM1138" s="7" t="s">
        <v>71</v>
      </c>
      <c r="AN1138" s="7" t="s">
        <v>71</v>
      </c>
      <c r="AO1138" s="12"/>
    </row>
    <row r="1139" spans="1:41" s="11" customFormat="1" x14ac:dyDescent="0.25">
      <c r="A1139" s="2">
        <v>1138</v>
      </c>
      <c r="B1139" s="7" t="s">
        <v>987</v>
      </c>
      <c r="C1139" s="7" t="s">
        <v>50</v>
      </c>
      <c r="D1139" s="7" t="s">
        <v>992</v>
      </c>
      <c r="E1139" s="7">
        <f>89+24</f>
        <v>113</v>
      </c>
      <c r="F1139" s="8">
        <v>1</v>
      </c>
      <c r="G1139" s="8">
        <v>3</v>
      </c>
      <c r="H1139" s="7">
        <v>3</v>
      </c>
      <c r="I1139" s="7">
        <v>3</v>
      </c>
      <c r="J1139" s="9" t="s">
        <v>35</v>
      </c>
      <c r="K1139" s="7">
        <v>2</v>
      </c>
      <c r="L1139" s="7" t="s">
        <v>52</v>
      </c>
      <c r="M1139" s="7">
        <f t="shared" si="85"/>
        <v>1</v>
      </c>
      <c r="N1139" s="9" t="s">
        <v>34</v>
      </c>
      <c r="O1139" s="7">
        <v>1</v>
      </c>
      <c r="P1139" s="9" t="s">
        <v>37</v>
      </c>
      <c r="Q1139" s="7" t="s">
        <v>38</v>
      </c>
      <c r="R1139" s="7" t="s">
        <v>52</v>
      </c>
      <c r="S1139" s="7"/>
      <c r="T1139" s="7"/>
      <c r="U1139" s="7"/>
      <c r="V1139" s="7"/>
      <c r="W1139" s="7"/>
      <c r="X1139" s="7"/>
      <c r="Y1139" s="7">
        <v>55</v>
      </c>
      <c r="Z1139" s="7">
        <v>55</v>
      </c>
      <c r="AA1139" s="7">
        <v>96</v>
      </c>
      <c r="AB1139" s="7">
        <f t="shared" si="87"/>
        <v>18.333333333333332</v>
      </c>
      <c r="AC1139" s="7">
        <f t="shared" si="86"/>
        <v>18.333333333333332</v>
      </c>
      <c r="AD1139" s="7"/>
      <c r="AE1139" s="7"/>
      <c r="AF1139" s="7"/>
      <c r="AG1139" s="7"/>
      <c r="AH1139" s="7"/>
      <c r="AI1139" s="7"/>
      <c r="AJ1139" s="7"/>
      <c r="AK1139" s="7"/>
      <c r="AL1139" s="9"/>
      <c r="AM1139" s="7" t="s">
        <v>993</v>
      </c>
      <c r="AN1139" s="7" t="s">
        <v>2848</v>
      </c>
      <c r="AO1139" s="12"/>
    </row>
    <row r="1140" spans="1:41" s="11" customFormat="1" x14ac:dyDescent="0.25">
      <c r="A1140" s="2">
        <v>1139</v>
      </c>
      <c r="B1140" s="7" t="s">
        <v>987</v>
      </c>
      <c r="C1140" s="7" t="s">
        <v>50</v>
      </c>
      <c r="D1140" s="7">
        <v>6</v>
      </c>
      <c r="E1140" s="7">
        <v>6</v>
      </c>
      <c r="F1140" s="8">
        <v>1</v>
      </c>
      <c r="G1140" s="8">
        <v>1</v>
      </c>
      <c r="H1140" s="7">
        <v>1</v>
      </c>
      <c r="I1140" s="7">
        <v>1</v>
      </c>
      <c r="J1140" s="9" t="s">
        <v>35</v>
      </c>
      <c r="K1140" s="7">
        <v>1</v>
      </c>
      <c r="L1140" s="7" t="s">
        <v>52</v>
      </c>
      <c r="M1140" s="7">
        <f t="shared" si="85"/>
        <v>1</v>
      </c>
      <c r="N1140" s="9" t="s">
        <v>36</v>
      </c>
      <c r="O1140" s="7">
        <v>1</v>
      </c>
      <c r="P1140" s="9" t="s">
        <v>33</v>
      </c>
      <c r="Q1140" s="7" t="s">
        <v>38</v>
      </c>
      <c r="R1140" s="7" t="s">
        <v>38</v>
      </c>
      <c r="S1140" s="10" t="s">
        <v>1635</v>
      </c>
      <c r="T1140" s="7"/>
      <c r="U1140" s="7"/>
      <c r="V1140" s="7"/>
      <c r="W1140" s="7"/>
      <c r="X1140" s="7"/>
      <c r="Y1140" s="7">
        <v>27</v>
      </c>
      <c r="Z1140" s="7">
        <v>27</v>
      </c>
      <c r="AA1140" s="7">
        <v>50</v>
      </c>
      <c r="AB1140" s="7">
        <f t="shared" si="87"/>
        <v>9</v>
      </c>
      <c r="AC1140" s="7">
        <f t="shared" si="86"/>
        <v>9</v>
      </c>
      <c r="AD1140" s="7"/>
      <c r="AE1140" s="7"/>
      <c r="AF1140" s="7"/>
      <c r="AG1140" s="7"/>
      <c r="AH1140" s="7"/>
      <c r="AI1140" s="7"/>
      <c r="AJ1140" s="7"/>
      <c r="AK1140" s="7"/>
      <c r="AL1140" s="9"/>
      <c r="AM1140" s="7" t="s">
        <v>71</v>
      </c>
      <c r="AN1140" s="7" t="s">
        <v>71</v>
      </c>
      <c r="AO1140" s="12"/>
    </row>
    <row r="1141" spans="1:41" s="11" customFormat="1" x14ac:dyDescent="0.25">
      <c r="A1141" s="2">
        <v>1140</v>
      </c>
      <c r="B1141" s="7" t="s">
        <v>987</v>
      </c>
      <c r="C1141" s="7" t="s">
        <v>249</v>
      </c>
      <c r="D1141" s="7" t="s">
        <v>994</v>
      </c>
      <c r="E1141" s="7">
        <v>27</v>
      </c>
      <c r="F1141" s="8">
        <v>2</v>
      </c>
      <c r="G1141" s="8">
        <v>2</v>
      </c>
      <c r="H1141" s="7" t="s">
        <v>87</v>
      </c>
      <c r="I1141" s="7">
        <v>2</v>
      </c>
      <c r="J1141" s="9" t="s">
        <v>35</v>
      </c>
      <c r="K1141" s="7">
        <v>2</v>
      </c>
      <c r="L1141" s="7" t="s">
        <v>52</v>
      </c>
      <c r="M1141" s="7">
        <f t="shared" si="85"/>
        <v>2</v>
      </c>
      <c r="N1141" s="9" t="s">
        <v>34</v>
      </c>
      <c r="O1141" s="7">
        <v>1</v>
      </c>
      <c r="P1141" s="9" t="s">
        <v>63</v>
      </c>
      <c r="Q1141" s="7" t="s">
        <v>38</v>
      </c>
      <c r="R1141" s="7" t="s">
        <v>38</v>
      </c>
      <c r="S1141" s="10" t="s">
        <v>1927</v>
      </c>
      <c r="T1141" s="7"/>
      <c r="U1141" s="7"/>
      <c r="V1141" s="7"/>
      <c r="W1141" s="7"/>
      <c r="X1141" s="7">
        <v>3</v>
      </c>
      <c r="Y1141" s="7"/>
      <c r="Z1141" s="7"/>
      <c r="AA1141" s="7"/>
      <c r="AB1141" s="7">
        <f t="shared" si="87"/>
        <v>1</v>
      </c>
      <c r="AC1141" s="7">
        <f t="shared" si="86"/>
        <v>1</v>
      </c>
      <c r="AD1141" s="7"/>
      <c r="AE1141" s="7">
        <v>2</v>
      </c>
      <c r="AF1141" s="7" t="s">
        <v>40</v>
      </c>
      <c r="AG1141" s="7" t="s">
        <v>995</v>
      </c>
      <c r="AH1141" s="7"/>
      <c r="AI1141" s="7"/>
      <c r="AJ1141" s="7"/>
      <c r="AK1141" s="10" t="s">
        <v>2472</v>
      </c>
      <c r="AL1141" s="9"/>
      <c r="AM1141" s="7" t="s">
        <v>71</v>
      </c>
      <c r="AN1141" s="7" t="s">
        <v>71</v>
      </c>
      <c r="AO1141" s="12"/>
    </row>
    <row r="1142" spans="1:41" s="11" customFormat="1" x14ac:dyDescent="0.25">
      <c r="A1142" s="2">
        <v>1141</v>
      </c>
      <c r="B1142" s="7" t="s">
        <v>987</v>
      </c>
      <c r="C1142" s="7" t="s">
        <v>249</v>
      </c>
      <c r="D1142" s="7" t="s">
        <v>410</v>
      </c>
      <c r="E1142" s="7">
        <v>15</v>
      </c>
      <c r="F1142" s="8">
        <v>2</v>
      </c>
      <c r="G1142" s="8">
        <v>2</v>
      </c>
      <c r="H1142" s="7" t="s">
        <v>87</v>
      </c>
      <c r="I1142" s="7">
        <v>2</v>
      </c>
      <c r="J1142" s="9" t="s">
        <v>35</v>
      </c>
      <c r="K1142" s="7">
        <v>1</v>
      </c>
      <c r="L1142" s="7" t="s">
        <v>52</v>
      </c>
      <c r="M1142" s="7">
        <f t="shared" si="85"/>
        <v>2</v>
      </c>
      <c r="N1142" s="9" t="s">
        <v>34</v>
      </c>
      <c r="O1142" s="7">
        <v>0</v>
      </c>
      <c r="P1142" s="9" t="s">
        <v>33</v>
      </c>
      <c r="Q1142" s="7" t="s">
        <v>38</v>
      </c>
      <c r="R1142" s="7" t="s">
        <v>38</v>
      </c>
      <c r="S1142" s="10" t="s">
        <v>2066</v>
      </c>
      <c r="T1142" s="7"/>
      <c r="U1142" s="7"/>
      <c r="V1142" s="7"/>
      <c r="W1142" s="7"/>
      <c r="X1142" s="7">
        <v>3</v>
      </c>
      <c r="Y1142" s="7"/>
      <c r="Z1142" s="7"/>
      <c r="AA1142" s="7"/>
      <c r="AB1142" s="7">
        <f t="shared" si="87"/>
        <v>1</v>
      </c>
      <c r="AC1142" s="7">
        <f t="shared" si="86"/>
        <v>1</v>
      </c>
      <c r="AD1142" s="7"/>
      <c r="AE1142" s="7">
        <v>2</v>
      </c>
      <c r="AF1142" s="7" t="s">
        <v>40</v>
      </c>
      <c r="AG1142" s="7" t="s">
        <v>996</v>
      </c>
      <c r="AH1142" s="7"/>
      <c r="AI1142" s="7"/>
      <c r="AJ1142" s="7"/>
      <c r="AK1142" s="7"/>
      <c r="AL1142" s="9"/>
      <c r="AM1142" s="7" t="s">
        <v>71</v>
      </c>
      <c r="AN1142" s="7" t="s">
        <v>71</v>
      </c>
      <c r="AO1142" s="12"/>
    </row>
    <row r="1143" spans="1:41" s="11" customFormat="1" ht="24" x14ac:dyDescent="0.25">
      <c r="A1143" s="2">
        <v>1142</v>
      </c>
      <c r="B1143" s="7" t="s">
        <v>987</v>
      </c>
      <c r="C1143" s="7" t="s">
        <v>305</v>
      </c>
      <c r="D1143" s="7" t="s">
        <v>997</v>
      </c>
      <c r="E1143" s="7">
        <v>13</v>
      </c>
      <c r="F1143" s="8">
        <v>1</v>
      </c>
      <c r="G1143" s="8">
        <v>2</v>
      </c>
      <c r="H1143" s="7" t="s">
        <v>87</v>
      </c>
      <c r="I1143" s="7">
        <v>2</v>
      </c>
      <c r="J1143" s="9" t="s">
        <v>70</v>
      </c>
      <c r="K1143" s="7">
        <v>1</v>
      </c>
      <c r="L1143" s="7" t="s">
        <v>52</v>
      </c>
      <c r="M1143" s="7">
        <f t="shared" si="85"/>
        <v>1</v>
      </c>
      <c r="N1143" s="9" t="s">
        <v>82</v>
      </c>
      <c r="O1143" s="7">
        <v>0</v>
      </c>
      <c r="P1143" s="9" t="s">
        <v>63</v>
      </c>
      <c r="Q1143" s="7" t="s">
        <v>38</v>
      </c>
      <c r="R1143" s="7" t="s">
        <v>38</v>
      </c>
      <c r="S1143" s="10" t="s">
        <v>2067</v>
      </c>
      <c r="T1143" s="7"/>
      <c r="U1143" s="7"/>
      <c r="V1143" s="7"/>
      <c r="W1143" s="7"/>
      <c r="X1143" s="7">
        <v>3</v>
      </c>
      <c r="Y1143" s="7"/>
      <c r="Z1143" s="7"/>
      <c r="AA1143" s="7"/>
      <c r="AB1143" s="7">
        <f t="shared" si="87"/>
        <v>1</v>
      </c>
      <c r="AC1143" s="7">
        <f t="shared" si="86"/>
        <v>1</v>
      </c>
      <c r="AD1143" s="7"/>
      <c r="AE1143" s="7">
        <v>1</v>
      </c>
      <c r="AF1143" s="7" t="s">
        <v>40</v>
      </c>
      <c r="AG1143" s="7" t="s">
        <v>395</v>
      </c>
      <c r="AH1143" s="7"/>
      <c r="AI1143" s="7"/>
      <c r="AJ1143" s="7"/>
      <c r="AK1143" s="7"/>
      <c r="AL1143" s="9"/>
      <c r="AM1143" s="7" t="s">
        <v>71</v>
      </c>
      <c r="AN1143" s="7" t="s">
        <v>71</v>
      </c>
      <c r="AO1143" s="15" t="s">
        <v>2601</v>
      </c>
    </row>
    <row r="1144" spans="1:41" s="11" customFormat="1" ht="24" x14ac:dyDescent="0.25">
      <c r="A1144" s="2">
        <v>1143</v>
      </c>
      <c r="B1144" s="7" t="s">
        <v>987</v>
      </c>
      <c r="C1144" s="7" t="s">
        <v>305</v>
      </c>
      <c r="D1144" s="7" t="s">
        <v>110</v>
      </c>
      <c r="E1144" s="7">
        <v>7</v>
      </c>
      <c r="F1144" s="8">
        <v>1</v>
      </c>
      <c r="G1144" s="8">
        <v>2</v>
      </c>
      <c r="H1144" s="7" t="s">
        <v>87</v>
      </c>
      <c r="I1144" s="7">
        <v>2</v>
      </c>
      <c r="J1144" s="9" t="s">
        <v>35</v>
      </c>
      <c r="K1144" s="7">
        <v>1</v>
      </c>
      <c r="L1144" s="7" t="s">
        <v>52</v>
      </c>
      <c r="M1144" s="7">
        <f t="shared" si="85"/>
        <v>1</v>
      </c>
      <c r="N1144" s="9" t="s">
        <v>36</v>
      </c>
      <c r="O1144" s="7">
        <v>0</v>
      </c>
      <c r="P1144" s="9" t="s">
        <v>63</v>
      </c>
      <c r="Q1144" s="7" t="s">
        <v>38</v>
      </c>
      <c r="R1144" s="7" t="s">
        <v>38</v>
      </c>
      <c r="S1144" s="10" t="s">
        <v>2068</v>
      </c>
      <c r="T1144" s="7"/>
      <c r="U1144" s="7"/>
      <c r="V1144" s="7"/>
      <c r="W1144" s="7"/>
      <c r="X1144" s="7">
        <v>3</v>
      </c>
      <c r="Y1144" s="7"/>
      <c r="Z1144" s="7"/>
      <c r="AA1144" s="7"/>
      <c r="AB1144" s="7">
        <f t="shared" si="87"/>
        <v>1</v>
      </c>
      <c r="AC1144" s="7">
        <f t="shared" si="86"/>
        <v>1</v>
      </c>
      <c r="AD1144" s="7"/>
      <c r="AE1144" s="7">
        <v>1</v>
      </c>
      <c r="AF1144" s="7" t="s">
        <v>40</v>
      </c>
      <c r="AG1144" s="7" t="s">
        <v>998</v>
      </c>
      <c r="AH1144" s="7" t="s">
        <v>38</v>
      </c>
      <c r="AI1144" s="7"/>
      <c r="AJ1144" s="7"/>
      <c r="AK1144" s="7"/>
      <c r="AL1144" s="9"/>
      <c r="AM1144" s="7" t="s">
        <v>71</v>
      </c>
      <c r="AN1144" s="7" t="s">
        <v>71</v>
      </c>
      <c r="AO1144" s="12"/>
    </row>
    <row r="1145" spans="1:41" s="11" customFormat="1" ht="24" x14ac:dyDescent="0.25">
      <c r="A1145" s="2">
        <v>1144</v>
      </c>
      <c r="B1145" s="7" t="s">
        <v>987</v>
      </c>
      <c r="C1145" s="7" t="s">
        <v>305</v>
      </c>
      <c r="D1145" s="7" t="s">
        <v>360</v>
      </c>
      <c r="E1145" s="7">
        <v>9</v>
      </c>
      <c r="F1145" s="8">
        <v>1</v>
      </c>
      <c r="G1145" s="8">
        <v>2</v>
      </c>
      <c r="H1145" s="7" t="s">
        <v>87</v>
      </c>
      <c r="I1145" s="7">
        <v>2</v>
      </c>
      <c r="J1145" s="9" t="s">
        <v>35</v>
      </c>
      <c r="K1145" s="7">
        <v>2</v>
      </c>
      <c r="L1145" s="7" t="s">
        <v>52</v>
      </c>
      <c r="M1145" s="7">
        <f t="shared" si="85"/>
        <v>1</v>
      </c>
      <c r="N1145" s="9" t="s">
        <v>34</v>
      </c>
      <c r="O1145" s="7">
        <v>0</v>
      </c>
      <c r="P1145" s="9" t="s">
        <v>63</v>
      </c>
      <c r="Q1145" s="7" t="s">
        <v>38</v>
      </c>
      <c r="R1145" s="7" t="s">
        <v>38</v>
      </c>
      <c r="S1145" s="10" t="s">
        <v>2069</v>
      </c>
      <c r="T1145" s="7"/>
      <c r="U1145" s="7"/>
      <c r="V1145" s="7"/>
      <c r="W1145" s="7"/>
      <c r="X1145" s="7">
        <v>3</v>
      </c>
      <c r="Y1145" s="7"/>
      <c r="Z1145" s="7"/>
      <c r="AA1145" s="7"/>
      <c r="AB1145" s="7">
        <f t="shared" si="87"/>
        <v>1</v>
      </c>
      <c r="AC1145" s="7">
        <f t="shared" si="86"/>
        <v>1</v>
      </c>
      <c r="AD1145" s="7"/>
      <c r="AE1145" s="7">
        <v>1</v>
      </c>
      <c r="AF1145" s="7" t="s">
        <v>40</v>
      </c>
      <c r="AG1145" s="7" t="s">
        <v>998</v>
      </c>
      <c r="AH1145" s="7" t="s">
        <v>38</v>
      </c>
      <c r="AI1145" s="7"/>
      <c r="AJ1145" s="7"/>
      <c r="AK1145" s="7"/>
      <c r="AL1145" s="9"/>
      <c r="AM1145" s="7" t="s">
        <v>71</v>
      </c>
      <c r="AN1145" s="7" t="s">
        <v>71</v>
      </c>
      <c r="AO1145" s="12"/>
    </row>
    <row r="1146" spans="1:41" s="11" customFormat="1" x14ac:dyDescent="0.25">
      <c r="A1146" s="2">
        <v>1145</v>
      </c>
      <c r="B1146" s="7" t="s">
        <v>987</v>
      </c>
      <c r="C1146" s="7" t="s">
        <v>119</v>
      </c>
      <c r="D1146" s="7">
        <v>3</v>
      </c>
      <c r="E1146" s="7">
        <v>3</v>
      </c>
      <c r="F1146" s="8">
        <v>1</v>
      </c>
      <c r="G1146" s="8">
        <v>1</v>
      </c>
      <c r="H1146" s="7">
        <v>1</v>
      </c>
      <c r="I1146" s="7">
        <v>1</v>
      </c>
      <c r="J1146" s="9" t="s">
        <v>35</v>
      </c>
      <c r="K1146" s="7">
        <v>2</v>
      </c>
      <c r="L1146" s="7" t="s">
        <v>52</v>
      </c>
      <c r="M1146" s="7">
        <f t="shared" si="85"/>
        <v>1</v>
      </c>
      <c r="N1146" s="9" t="s">
        <v>34</v>
      </c>
      <c r="O1146" s="7">
        <v>0</v>
      </c>
      <c r="P1146" s="9" t="s">
        <v>63</v>
      </c>
      <c r="Q1146" s="7"/>
      <c r="R1146" s="7" t="s">
        <v>38</v>
      </c>
      <c r="S1146" s="10" t="s">
        <v>1556</v>
      </c>
      <c r="T1146" s="7"/>
      <c r="U1146" s="7"/>
      <c r="V1146" s="7"/>
      <c r="W1146" s="7"/>
      <c r="X1146" s="7"/>
      <c r="Y1146" s="7"/>
      <c r="Z1146" s="7"/>
      <c r="AA1146" s="7"/>
      <c r="AB1146" s="7">
        <v>0.33333333333333298</v>
      </c>
      <c r="AC1146" s="7">
        <f t="shared" si="86"/>
        <v>0.33333333333333298</v>
      </c>
      <c r="AD1146" s="7"/>
      <c r="AE1146" s="7"/>
      <c r="AF1146" s="7" t="s">
        <v>40</v>
      </c>
      <c r="AG1146" s="7" t="s">
        <v>999</v>
      </c>
      <c r="AH1146" s="7"/>
      <c r="AI1146" s="7"/>
      <c r="AJ1146" s="7"/>
      <c r="AK1146" s="7"/>
      <c r="AL1146" s="9"/>
      <c r="AM1146" s="7" t="s">
        <v>71</v>
      </c>
      <c r="AN1146" s="7" t="s">
        <v>71</v>
      </c>
      <c r="AO1146" s="15" t="s">
        <v>2633</v>
      </c>
    </row>
    <row r="1147" spans="1:41" s="11" customFormat="1" x14ac:dyDescent="0.25">
      <c r="A1147" s="2">
        <v>1146</v>
      </c>
      <c r="B1147" s="7" t="s">
        <v>987</v>
      </c>
      <c r="C1147" s="7" t="s">
        <v>119</v>
      </c>
      <c r="D1147" s="7">
        <v>4</v>
      </c>
      <c r="E1147" s="7">
        <v>4</v>
      </c>
      <c r="F1147" s="8">
        <v>1</v>
      </c>
      <c r="G1147" s="8">
        <v>1</v>
      </c>
      <c r="H1147" s="7">
        <v>1</v>
      </c>
      <c r="I1147" s="7">
        <v>1</v>
      </c>
      <c r="J1147" s="9" t="s">
        <v>35</v>
      </c>
      <c r="K1147" s="7">
        <v>1</v>
      </c>
      <c r="L1147" s="7" t="s">
        <v>52</v>
      </c>
      <c r="M1147" s="7">
        <f t="shared" si="85"/>
        <v>1</v>
      </c>
      <c r="N1147" s="9" t="s">
        <v>36</v>
      </c>
      <c r="O1147" s="7">
        <v>0</v>
      </c>
      <c r="P1147" s="9" t="s">
        <v>63</v>
      </c>
      <c r="Q1147" s="7"/>
      <c r="R1147" s="7" t="s">
        <v>38</v>
      </c>
      <c r="S1147" s="7"/>
      <c r="T1147" s="7"/>
      <c r="U1147" s="7"/>
      <c r="V1147" s="7"/>
      <c r="W1147" s="7"/>
      <c r="X1147" s="7"/>
      <c r="Y1147" s="7"/>
      <c r="Z1147" s="7"/>
      <c r="AA1147" s="7"/>
      <c r="AB1147" s="7">
        <v>0.33333333333333298</v>
      </c>
      <c r="AC1147" s="7">
        <f t="shared" si="86"/>
        <v>0.33333333333333298</v>
      </c>
      <c r="AD1147" s="7"/>
      <c r="AE1147" s="7"/>
      <c r="AF1147" s="7" t="s">
        <v>40</v>
      </c>
      <c r="AG1147" s="7"/>
      <c r="AH1147" s="7"/>
      <c r="AI1147" s="7"/>
      <c r="AJ1147" s="7"/>
      <c r="AK1147" s="7"/>
      <c r="AL1147" s="9"/>
      <c r="AM1147" s="7" t="s">
        <v>71</v>
      </c>
      <c r="AN1147" s="7" t="s">
        <v>71</v>
      </c>
      <c r="AO1147" s="12"/>
    </row>
    <row r="1148" spans="1:41" s="11" customFormat="1" x14ac:dyDescent="0.25">
      <c r="A1148" s="2">
        <v>1147</v>
      </c>
      <c r="B1148" s="7" t="s">
        <v>987</v>
      </c>
      <c r="C1148" s="7" t="s">
        <v>78</v>
      </c>
      <c r="D1148" s="7">
        <v>7</v>
      </c>
      <c r="E1148" s="7">
        <v>7</v>
      </c>
      <c r="F1148" s="8">
        <v>1</v>
      </c>
      <c r="G1148" s="8">
        <v>1</v>
      </c>
      <c r="H1148" s="7">
        <v>1</v>
      </c>
      <c r="I1148" s="7">
        <v>1</v>
      </c>
      <c r="J1148" s="9" t="s">
        <v>35</v>
      </c>
      <c r="K1148" s="7">
        <v>1</v>
      </c>
      <c r="L1148" s="7" t="s">
        <v>52</v>
      </c>
      <c r="M1148" s="7">
        <f t="shared" si="85"/>
        <v>1</v>
      </c>
      <c r="N1148" s="9" t="s">
        <v>36</v>
      </c>
      <c r="O1148" s="7">
        <v>1</v>
      </c>
      <c r="P1148" s="9" t="s">
        <v>63</v>
      </c>
      <c r="Q1148" s="7" t="s">
        <v>38</v>
      </c>
      <c r="R1148" s="7" t="s">
        <v>38</v>
      </c>
      <c r="S1148" s="7"/>
      <c r="T1148" s="7">
        <v>10</v>
      </c>
      <c r="U1148" s="7">
        <v>10</v>
      </c>
      <c r="V1148" s="7">
        <v>140</v>
      </c>
      <c r="W1148" s="7" t="s">
        <v>673</v>
      </c>
      <c r="X1148" s="7"/>
      <c r="Y1148" s="7"/>
      <c r="Z1148" s="7"/>
      <c r="AA1148" s="7"/>
      <c r="AB1148" s="7">
        <f t="shared" ref="AB1148:AB1158" si="88">(U1148+X1148+Z1148)/3</f>
        <v>3.3333333333333335</v>
      </c>
      <c r="AC1148" s="7">
        <f t="shared" si="86"/>
        <v>3.3333333333333335</v>
      </c>
      <c r="AD1148" s="7"/>
      <c r="AE1148" s="7"/>
      <c r="AF1148" s="7"/>
      <c r="AG1148" s="7"/>
      <c r="AH1148" s="7"/>
      <c r="AI1148" s="7"/>
      <c r="AJ1148" s="7"/>
      <c r="AK1148" s="7"/>
      <c r="AL1148" s="9"/>
      <c r="AM1148" s="7" t="s">
        <v>71</v>
      </c>
      <c r="AN1148" s="7" t="s">
        <v>71</v>
      </c>
      <c r="AO1148" s="12"/>
    </row>
    <row r="1149" spans="1:41" s="11" customFormat="1" x14ac:dyDescent="0.25">
      <c r="A1149" s="2">
        <v>1148</v>
      </c>
      <c r="B1149" s="7" t="s">
        <v>987</v>
      </c>
      <c r="C1149" s="7" t="s">
        <v>89</v>
      </c>
      <c r="D1149" s="7" t="s">
        <v>1000</v>
      </c>
      <c r="E1149" s="7">
        <f>14+12+9+4+12+6+1</f>
        <v>58</v>
      </c>
      <c r="F1149" s="8">
        <v>12</v>
      </c>
      <c r="G1149" s="8">
        <v>14</v>
      </c>
      <c r="H1149" s="7" t="s">
        <v>1001</v>
      </c>
      <c r="I1149" s="7">
        <v>14</v>
      </c>
      <c r="J1149" s="9" t="s">
        <v>35</v>
      </c>
      <c r="K1149" s="7">
        <v>2</v>
      </c>
      <c r="L1149" s="7" t="s">
        <v>52</v>
      </c>
      <c r="M1149" s="7">
        <f t="shared" si="85"/>
        <v>12</v>
      </c>
      <c r="N1149" s="9"/>
      <c r="O1149" s="7"/>
      <c r="P1149" s="9"/>
      <c r="Q1149" s="7"/>
      <c r="R1149" s="7"/>
      <c r="S1149" s="7"/>
      <c r="T1149" s="7"/>
      <c r="U1149" s="7"/>
      <c r="V1149" s="7"/>
      <c r="W1149" s="7"/>
      <c r="X1149" s="7">
        <v>3</v>
      </c>
      <c r="Y1149" s="7"/>
      <c r="Z1149" s="7"/>
      <c r="AA1149" s="7"/>
      <c r="AB1149" s="7">
        <f t="shared" si="88"/>
        <v>1</v>
      </c>
      <c r="AC1149" s="7">
        <f t="shared" si="86"/>
        <v>1</v>
      </c>
      <c r="AD1149" s="7"/>
      <c r="AE1149" s="7"/>
      <c r="AF1149" s="7"/>
      <c r="AG1149" s="7"/>
      <c r="AH1149" s="7"/>
      <c r="AI1149" s="7"/>
      <c r="AJ1149" s="7"/>
      <c r="AK1149" s="7"/>
      <c r="AL1149" s="9"/>
      <c r="AM1149" s="7" t="s">
        <v>71</v>
      </c>
      <c r="AN1149" s="7" t="s">
        <v>71</v>
      </c>
      <c r="AO1149" s="15" t="s">
        <v>2634</v>
      </c>
    </row>
    <row r="1150" spans="1:41" s="11" customFormat="1" x14ac:dyDescent="0.25">
      <c r="A1150" s="2">
        <v>1149</v>
      </c>
      <c r="B1150" s="7" t="s">
        <v>987</v>
      </c>
      <c r="C1150" s="7" t="s">
        <v>78</v>
      </c>
      <c r="D1150" s="7">
        <v>2</v>
      </c>
      <c r="E1150" s="7">
        <v>2</v>
      </c>
      <c r="F1150" s="8">
        <v>1</v>
      </c>
      <c r="G1150" s="8">
        <v>1</v>
      </c>
      <c r="H1150" s="7">
        <v>1</v>
      </c>
      <c r="I1150" s="7">
        <v>1</v>
      </c>
      <c r="J1150" s="9" t="s">
        <v>35</v>
      </c>
      <c r="K1150" s="7">
        <v>2</v>
      </c>
      <c r="L1150" s="7" t="s">
        <v>52</v>
      </c>
      <c r="M1150" s="7">
        <f t="shared" si="85"/>
        <v>1</v>
      </c>
      <c r="N1150" s="9" t="s">
        <v>34</v>
      </c>
      <c r="O1150" s="7">
        <v>0</v>
      </c>
      <c r="P1150" s="9" t="s">
        <v>63</v>
      </c>
      <c r="Q1150" s="7" t="s">
        <v>38</v>
      </c>
      <c r="R1150" s="7" t="s">
        <v>38</v>
      </c>
      <c r="S1150" s="10" t="s">
        <v>1556</v>
      </c>
      <c r="T1150" s="7">
        <v>5</v>
      </c>
      <c r="U1150" s="7">
        <v>5</v>
      </c>
      <c r="V1150" s="7">
        <v>70</v>
      </c>
      <c r="W1150" s="7" t="s">
        <v>88</v>
      </c>
      <c r="X1150" s="7"/>
      <c r="Y1150" s="7"/>
      <c r="Z1150" s="7"/>
      <c r="AA1150" s="7"/>
      <c r="AB1150" s="7">
        <f t="shared" si="88"/>
        <v>1.6666666666666667</v>
      </c>
      <c r="AC1150" s="7">
        <f t="shared" si="86"/>
        <v>1.6666666666666667</v>
      </c>
      <c r="AD1150" s="7"/>
      <c r="AE1150" s="7"/>
      <c r="AF1150" s="7"/>
      <c r="AG1150" s="7"/>
      <c r="AH1150" s="7"/>
      <c r="AI1150" s="7"/>
      <c r="AJ1150" s="7"/>
      <c r="AK1150" s="7"/>
      <c r="AL1150" s="9"/>
      <c r="AM1150" s="7" t="s">
        <v>42</v>
      </c>
      <c r="AN1150" s="7" t="s">
        <v>42</v>
      </c>
      <c r="AO1150" s="12"/>
    </row>
    <row r="1151" spans="1:41" s="11" customFormat="1" x14ac:dyDescent="0.25">
      <c r="A1151" s="2">
        <v>1150</v>
      </c>
      <c r="B1151" s="7" t="s">
        <v>987</v>
      </c>
      <c r="C1151" s="7" t="s">
        <v>89</v>
      </c>
      <c r="D1151" s="7" t="s">
        <v>1002</v>
      </c>
      <c r="E1151" s="7">
        <v>13</v>
      </c>
      <c r="F1151" s="8">
        <v>3</v>
      </c>
      <c r="G1151" s="8">
        <v>4</v>
      </c>
      <c r="H1151" s="7" t="s">
        <v>91</v>
      </c>
      <c r="I1151" s="7">
        <v>4</v>
      </c>
      <c r="J1151" s="9" t="s">
        <v>35</v>
      </c>
      <c r="K1151" s="7">
        <v>1</v>
      </c>
      <c r="L1151" s="7" t="s">
        <v>52</v>
      </c>
      <c r="M1151" s="7">
        <f t="shared" si="85"/>
        <v>3</v>
      </c>
      <c r="N1151" s="9"/>
      <c r="O1151" s="7"/>
      <c r="P1151" s="9"/>
      <c r="Q1151" s="7"/>
      <c r="R1151" s="7"/>
      <c r="S1151" s="7"/>
      <c r="T1151" s="7"/>
      <c r="U1151" s="7"/>
      <c r="V1151" s="7"/>
      <c r="W1151" s="7"/>
      <c r="X1151" s="7">
        <v>3</v>
      </c>
      <c r="Y1151" s="7"/>
      <c r="Z1151" s="7"/>
      <c r="AA1151" s="7"/>
      <c r="AB1151" s="7">
        <f t="shared" si="88"/>
        <v>1</v>
      </c>
      <c r="AC1151" s="7">
        <f t="shared" si="86"/>
        <v>1</v>
      </c>
      <c r="AD1151" s="7"/>
      <c r="AE1151" s="7"/>
      <c r="AF1151" s="7"/>
      <c r="AG1151" s="7"/>
      <c r="AH1151" s="7"/>
      <c r="AI1151" s="7"/>
      <c r="AJ1151" s="7"/>
      <c r="AK1151" s="7"/>
      <c r="AL1151" s="9"/>
      <c r="AM1151" s="7" t="s">
        <v>71</v>
      </c>
      <c r="AN1151" s="7" t="s">
        <v>71</v>
      </c>
      <c r="AO1151" s="15" t="s">
        <v>2635</v>
      </c>
    </row>
    <row r="1152" spans="1:41" s="11" customFormat="1" x14ac:dyDescent="0.25">
      <c r="A1152" s="2">
        <v>1151</v>
      </c>
      <c r="B1152" s="7" t="s">
        <v>987</v>
      </c>
      <c r="C1152" s="7" t="s">
        <v>100</v>
      </c>
      <c r="D1152" s="7">
        <v>10</v>
      </c>
      <c r="E1152" s="7">
        <v>10</v>
      </c>
      <c r="F1152" s="8">
        <v>1</v>
      </c>
      <c r="G1152" s="8">
        <v>1</v>
      </c>
      <c r="H1152" s="7">
        <v>1</v>
      </c>
      <c r="I1152" s="7">
        <v>1</v>
      </c>
      <c r="J1152" s="9" t="s">
        <v>35</v>
      </c>
      <c r="K1152" s="7">
        <v>2</v>
      </c>
      <c r="L1152" s="7" t="s">
        <v>52</v>
      </c>
      <c r="M1152" s="7">
        <f t="shared" si="85"/>
        <v>1</v>
      </c>
      <c r="N1152" s="9"/>
      <c r="O1152" s="7"/>
      <c r="P1152" s="9"/>
      <c r="Q1152" s="7" t="s">
        <v>52</v>
      </c>
      <c r="R1152" s="7" t="s">
        <v>38</v>
      </c>
      <c r="S1152" s="10" t="s">
        <v>2070</v>
      </c>
      <c r="T1152" s="7"/>
      <c r="U1152" s="7"/>
      <c r="V1152" s="7"/>
      <c r="W1152" s="7"/>
      <c r="X1152" s="7">
        <v>3</v>
      </c>
      <c r="Y1152" s="7"/>
      <c r="Z1152" s="7"/>
      <c r="AA1152" s="7"/>
      <c r="AB1152" s="7">
        <f t="shared" si="88"/>
        <v>1</v>
      </c>
      <c r="AC1152" s="7">
        <f t="shared" si="86"/>
        <v>1</v>
      </c>
      <c r="AD1152" s="7"/>
      <c r="AE1152" s="7"/>
      <c r="AF1152" s="7"/>
      <c r="AG1152" s="7"/>
      <c r="AH1152" s="7"/>
      <c r="AI1152" s="7"/>
      <c r="AJ1152" s="10" t="s">
        <v>2360</v>
      </c>
      <c r="AK1152" s="7"/>
      <c r="AL1152" s="9"/>
      <c r="AM1152" s="7" t="s">
        <v>71</v>
      </c>
      <c r="AN1152" s="7" t="s">
        <v>71</v>
      </c>
      <c r="AO1152" s="12"/>
    </row>
    <row r="1153" spans="1:41" s="11" customFormat="1" x14ac:dyDescent="0.25">
      <c r="A1153" s="2">
        <v>1152</v>
      </c>
      <c r="B1153" s="7" t="s">
        <v>987</v>
      </c>
      <c r="C1153" s="7" t="s">
        <v>89</v>
      </c>
      <c r="D1153" s="7" t="s">
        <v>1003</v>
      </c>
      <c r="E1153" s="7">
        <v>47</v>
      </c>
      <c r="F1153" s="8">
        <v>1</v>
      </c>
      <c r="G1153" s="8">
        <v>2</v>
      </c>
      <c r="H1153" s="7" t="s">
        <v>87</v>
      </c>
      <c r="I1153" s="7">
        <v>2</v>
      </c>
      <c r="J1153" s="9" t="s">
        <v>70</v>
      </c>
      <c r="K1153" s="7">
        <v>1</v>
      </c>
      <c r="L1153" s="7" t="s">
        <v>52</v>
      </c>
      <c r="M1153" s="7">
        <f t="shared" si="85"/>
        <v>1</v>
      </c>
      <c r="N1153" s="9"/>
      <c r="O1153" s="7"/>
      <c r="P1153" s="9"/>
      <c r="Q1153" s="7" t="s">
        <v>52</v>
      </c>
      <c r="R1153" s="7" t="s">
        <v>38</v>
      </c>
      <c r="S1153" s="7"/>
      <c r="T1153" s="7"/>
      <c r="U1153" s="7"/>
      <c r="V1153" s="7"/>
      <c r="W1153" s="7"/>
      <c r="X1153" s="7">
        <v>3</v>
      </c>
      <c r="Y1153" s="7"/>
      <c r="Z1153" s="7"/>
      <c r="AA1153" s="7"/>
      <c r="AB1153" s="7">
        <f t="shared" si="88"/>
        <v>1</v>
      </c>
      <c r="AC1153" s="7">
        <f t="shared" si="86"/>
        <v>1</v>
      </c>
      <c r="AD1153" s="7"/>
      <c r="AE1153" s="7"/>
      <c r="AF1153" s="7"/>
      <c r="AG1153" s="7"/>
      <c r="AH1153" s="7"/>
      <c r="AI1153" s="7"/>
      <c r="AJ1153" s="10" t="s">
        <v>2360</v>
      </c>
      <c r="AK1153" s="7"/>
      <c r="AL1153" s="9"/>
      <c r="AM1153" s="7" t="s">
        <v>71</v>
      </c>
      <c r="AN1153" s="7" t="s">
        <v>71</v>
      </c>
      <c r="AO1153" s="12"/>
    </row>
    <row r="1154" spans="1:41" s="11" customFormat="1" ht="24" x14ac:dyDescent="0.25">
      <c r="A1154" s="2">
        <v>1153</v>
      </c>
      <c r="B1154" s="7" t="s">
        <v>987</v>
      </c>
      <c r="C1154" s="7" t="s">
        <v>119</v>
      </c>
      <c r="D1154" s="7">
        <v>76</v>
      </c>
      <c r="E1154" s="7">
        <v>76</v>
      </c>
      <c r="F1154" s="8">
        <v>1</v>
      </c>
      <c r="G1154" s="8">
        <v>1</v>
      </c>
      <c r="H1154" s="7">
        <v>1</v>
      </c>
      <c r="I1154" s="7">
        <v>1</v>
      </c>
      <c r="J1154" s="9" t="s">
        <v>219</v>
      </c>
      <c r="K1154" s="7">
        <v>13</v>
      </c>
      <c r="L1154" s="7" t="s">
        <v>52</v>
      </c>
      <c r="M1154" s="7">
        <f t="shared" ref="M1154:M1217" si="89">IF(L1154="n",F1154,0)</f>
        <v>1</v>
      </c>
      <c r="N1154" s="9" t="s">
        <v>36</v>
      </c>
      <c r="O1154" s="7">
        <v>0</v>
      </c>
      <c r="P1154" s="9" t="s">
        <v>34</v>
      </c>
      <c r="Q1154" s="7" t="s">
        <v>38</v>
      </c>
      <c r="R1154" s="7" t="s">
        <v>38</v>
      </c>
      <c r="S1154" s="10" t="s">
        <v>2071</v>
      </c>
      <c r="T1154" s="7">
        <v>10</v>
      </c>
      <c r="U1154" s="7">
        <v>10</v>
      </c>
      <c r="V1154" s="7">
        <v>170</v>
      </c>
      <c r="W1154" s="7" t="s">
        <v>1004</v>
      </c>
      <c r="X1154" s="7"/>
      <c r="Y1154" s="7"/>
      <c r="Z1154" s="7"/>
      <c r="AA1154" s="7"/>
      <c r="AB1154" s="7">
        <f t="shared" si="88"/>
        <v>3.3333333333333335</v>
      </c>
      <c r="AC1154" s="7">
        <f t="shared" ref="AC1154:AC1217" si="90">IF(L1154="n",AB1154,0)</f>
        <v>3.3333333333333335</v>
      </c>
      <c r="AD1154" s="7"/>
      <c r="AE1154" s="7">
        <v>1</v>
      </c>
      <c r="AF1154" s="7" t="s">
        <v>155</v>
      </c>
      <c r="AG1154" s="7" t="s">
        <v>1005</v>
      </c>
      <c r="AH1154" s="7"/>
      <c r="AI1154" s="7"/>
      <c r="AJ1154" s="7"/>
      <c r="AK1154" s="7"/>
      <c r="AL1154" s="9"/>
      <c r="AM1154" s="7" t="s">
        <v>961</v>
      </c>
      <c r="AN1154" s="7" t="s">
        <v>71</v>
      </c>
      <c r="AO1154" s="12"/>
    </row>
    <row r="1155" spans="1:41" s="11" customFormat="1" x14ac:dyDescent="0.25">
      <c r="A1155" s="2">
        <v>1154</v>
      </c>
      <c r="B1155" s="7" t="s">
        <v>987</v>
      </c>
      <c r="C1155" s="7" t="s">
        <v>104</v>
      </c>
      <c r="D1155" s="7">
        <v>31</v>
      </c>
      <c r="E1155" s="7">
        <v>31</v>
      </c>
      <c r="F1155" s="8">
        <v>1</v>
      </c>
      <c r="G1155" s="8">
        <v>1</v>
      </c>
      <c r="H1155" s="7">
        <v>1</v>
      </c>
      <c r="I1155" s="7">
        <v>1</v>
      </c>
      <c r="J1155" s="9" t="s">
        <v>219</v>
      </c>
      <c r="K1155" s="7">
        <v>13</v>
      </c>
      <c r="L1155" s="7" t="s">
        <v>52</v>
      </c>
      <c r="M1155" s="7">
        <f t="shared" si="89"/>
        <v>1</v>
      </c>
      <c r="N1155" s="9" t="s">
        <v>36</v>
      </c>
      <c r="O1155" s="7">
        <v>1</v>
      </c>
      <c r="P1155" s="9" t="s">
        <v>34</v>
      </c>
      <c r="Q1155" s="7" t="s">
        <v>38</v>
      </c>
      <c r="R1155" s="7" t="s">
        <v>38</v>
      </c>
      <c r="S1155" s="10" t="s">
        <v>2072</v>
      </c>
      <c r="T1155" s="7"/>
      <c r="U1155" s="7"/>
      <c r="V1155" s="7"/>
      <c r="W1155" s="7"/>
      <c r="X1155" s="7">
        <v>3</v>
      </c>
      <c r="Y1155" s="7"/>
      <c r="Z1155" s="7"/>
      <c r="AA1155" s="7"/>
      <c r="AB1155" s="7">
        <f t="shared" si="88"/>
        <v>1</v>
      </c>
      <c r="AC1155" s="7">
        <f t="shared" si="90"/>
        <v>1</v>
      </c>
      <c r="AD1155" s="7"/>
      <c r="AE1155" s="7">
        <v>1</v>
      </c>
      <c r="AF1155" s="7"/>
      <c r="AG1155" s="7" t="s">
        <v>534</v>
      </c>
      <c r="AH1155" s="7"/>
      <c r="AI1155" s="7"/>
      <c r="AJ1155" s="7"/>
      <c r="AK1155" s="7"/>
      <c r="AL1155" s="9"/>
      <c r="AM1155" s="7" t="s">
        <v>71</v>
      </c>
      <c r="AN1155" s="7" t="s">
        <v>71</v>
      </c>
      <c r="AO1155" s="12"/>
    </row>
    <row r="1156" spans="1:41" s="11" customFormat="1" x14ac:dyDescent="0.25">
      <c r="A1156" s="2">
        <v>1155</v>
      </c>
      <c r="B1156" s="7" t="s">
        <v>987</v>
      </c>
      <c r="C1156" s="7" t="s">
        <v>100</v>
      </c>
      <c r="D1156" s="7">
        <v>14</v>
      </c>
      <c r="E1156" s="7">
        <v>14</v>
      </c>
      <c r="F1156" s="8">
        <v>1</v>
      </c>
      <c r="G1156" s="8">
        <v>1</v>
      </c>
      <c r="H1156" s="7">
        <v>1</v>
      </c>
      <c r="I1156" s="7">
        <v>1</v>
      </c>
      <c r="J1156" s="9" t="s">
        <v>219</v>
      </c>
      <c r="K1156" s="7">
        <v>13</v>
      </c>
      <c r="L1156" s="7" t="s">
        <v>52</v>
      </c>
      <c r="M1156" s="7">
        <f t="shared" si="89"/>
        <v>1</v>
      </c>
      <c r="N1156" s="9"/>
      <c r="O1156" s="7"/>
      <c r="P1156" s="9"/>
      <c r="Q1156" s="7"/>
      <c r="R1156" s="7"/>
      <c r="S1156" s="7"/>
      <c r="T1156" s="7"/>
      <c r="U1156" s="7"/>
      <c r="V1156" s="7"/>
      <c r="W1156" s="7"/>
      <c r="X1156" s="7">
        <v>3</v>
      </c>
      <c r="Y1156" s="7"/>
      <c r="Z1156" s="7"/>
      <c r="AA1156" s="7"/>
      <c r="AB1156" s="7">
        <f t="shared" si="88"/>
        <v>1</v>
      </c>
      <c r="AC1156" s="7">
        <f t="shared" si="90"/>
        <v>1</v>
      </c>
      <c r="AD1156" s="7"/>
      <c r="AE1156" s="7"/>
      <c r="AF1156" s="7"/>
      <c r="AG1156" s="7"/>
      <c r="AH1156" s="7"/>
      <c r="AI1156" s="7"/>
      <c r="AJ1156" s="7"/>
      <c r="AK1156" s="7"/>
      <c r="AL1156" s="9"/>
      <c r="AM1156" s="7" t="s">
        <v>71</v>
      </c>
      <c r="AN1156" s="7" t="s">
        <v>71</v>
      </c>
      <c r="AO1156" s="12"/>
    </row>
    <row r="1157" spans="1:41" s="11" customFormat="1" x14ac:dyDescent="0.25">
      <c r="A1157" s="2">
        <v>1156</v>
      </c>
      <c r="B1157" s="7" t="s">
        <v>987</v>
      </c>
      <c r="C1157" s="7" t="s">
        <v>89</v>
      </c>
      <c r="D1157" s="7" t="s">
        <v>1006</v>
      </c>
      <c r="E1157" s="7">
        <f>28+22+7</f>
        <v>57</v>
      </c>
      <c r="F1157" s="8">
        <v>3</v>
      </c>
      <c r="G1157" s="8">
        <v>5</v>
      </c>
      <c r="H1157" s="7" t="s">
        <v>345</v>
      </c>
      <c r="I1157" s="7">
        <v>5</v>
      </c>
      <c r="J1157" s="9" t="s">
        <v>219</v>
      </c>
      <c r="K1157" s="7">
        <v>1</v>
      </c>
      <c r="L1157" s="7" t="s">
        <v>52</v>
      </c>
      <c r="M1157" s="7">
        <f t="shared" si="89"/>
        <v>3</v>
      </c>
      <c r="N1157" s="9"/>
      <c r="O1157" s="7"/>
      <c r="P1157" s="9"/>
      <c r="Q1157" s="7"/>
      <c r="R1157" s="7"/>
      <c r="S1157" s="7"/>
      <c r="T1157" s="7"/>
      <c r="U1157" s="7"/>
      <c r="V1157" s="7"/>
      <c r="W1157" s="7"/>
      <c r="X1157" s="7">
        <v>3</v>
      </c>
      <c r="Y1157" s="7"/>
      <c r="Z1157" s="7"/>
      <c r="AA1157" s="7"/>
      <c r="AB1157" s="7">
        <f t="shared" si="88"/>
        <v>1</v>
      </c>
      <c r="AC1157" s="7">
        <f t="shared" si="90"/>
        <v>1</v>
      </c>
      <c r="AD1157" s="7"/>
      <c r="AE1157" s="7"/>
      <c r="AF1157" s="7"/>
      <c r="AG1157" s="7"/>
      <c r="AH1157" s="7"/>
      <c r="AI1157" s="7"/>
      <c r="AJ1157" s="7"/>
      <c r="AK1157" s="7"/>
      <c r="AL1157" s="9"/>
      <c r="AM1157" s="7" t="s">
        <v>71</v>
      </c>
      <c r="AN1157" s="7" t="s">
        <v>71</v>
      </c>
      <c r="AO1157" s="12"/>
    </row>
    <row r="1158" spans="1:41" s="11" customFormat="1" x14ac:dyDescent="0.25">
      <c r="A1158" s="2">
        <v>1157</v>
      </c>
      <c r="B1158" s="7" t="s">
        <v>987</v>
      </c>
      <c r="C1158" s="7" t="s">
        <v>89</v>
      </c>
      <c r="D1158" s="7" t="s">
        <v>442</v>
      </c>
      <c r="E1158" s="7">
        <v>10</v>
      </c>
      <c r="F1158" s="8">
        <v>1</v>
      </c>
      <c r="G1158" s="8">
        <v>2</v>
      </c>
      <c r="H1158" s="7">
        <v>2</v>
      </c>
      <c r="I1158" s="7">
        <v>2</v>
      </c>
      <c r="J1158" s="9" t="s">
        <v>219</v>
      </c>
      <c r="K1158" s="7">
        <v>6</v>
      </c>
      <c r="L1158" s="7" t="s">
        <v>52</v>
      </c>
      <c r="M1158" s="7">
        <f t="shared" si="89"/>
        <v>1</v>
      </c>
      <c r="N1158" s="9"/>
      <c r="O1158" s="7"/>
      <c r="P1158" s="9"/>
      <c r="Q1158" s="7"/>
      <c r="R1158" s="7"/>
      <c r="S1158" s="7"/>
      <c r="T1158" s="7"/>
      <c r="U1158" s="7"/>
      <c r="V1158" s="7"/>
      <c r="W1158" s="7"/>
      <c r="X1158" s="7">
        <v>3</v>
      </c>
      <c r="Y1158" s="7"/>
      <c r="Z1158" s="7"/>
      <c r="AA1158" s="7"/>
      <c r="AB1158" s="7">
        <f t="shared" si="88"/>
        <v>1</v>
      </c>
      <c r="AC1158" s="7">
        <f t="shared" si="90"/>
        <v>1</v>
      </c>
      <c r="AD1158" s="7"/>
      <c r="AE1158" s="7"/>
      <c r="AF1158" s="7"/>
      <c r="AG1158" s="7"/>
      <c r="AH1158" s="7"/>
      <c r="AI1158" s="7"/>
      <c r="AJ1158" s="7"/>
      <c r="AK1158" s="7"/>
      <c r="AL1158" s="9"/>
      <c r="AM1158" s="7" t="s">
        <v>71</v>
      </c>
      <c r="AN1158" s="7" t="s">
        <v>71</v>
      </c>
      <c r="AO1158" s="12"/>
    </row>
    <row r="1159" spans="1:41" s="11" customFormat="1" x14ac:dyDescent="0.25">
      <c r="A1159" s="2">
        <v>1158</v>
      </c>
      <c r="B1159" s="7" t="s">
        <v>987</v>
      </c>
      <c r="C1159" s="7"/>
      <c r="D1159" s="7"/>
      <c r="E1159" s="7"/>
      <c r="F1159" s="9"/>
      <c r="G1159" s="9"/>
      <c r="H1159" s="7"/>
      <c r="I1159" s="7"/>
      <c r="J1159" s="9"/>
      <c r="K1159" s="7"/>
      <c r="L1159" s="7"/>
      <c r="M1159" s="7">
        <f t="shared" si="89"/>
        <v>0</v>
      </c>
      <c r="N1159" s="9"/>
      <c r="O1159" s="7"/>
      <c r="P1159" s="9"/>
      <c r="Q1159" s="7"/>
      <c r="R1159" s="7"/>
      <c r="S1159" s="7"/>
      <c r="T1159" s="7"/>
      <c r="U1159" s="7"/>
      <c r="V1159" s="7"/>
      <c r="W1159" s="7"/>
      <c r="X1159" s="7"/>
      <c r="Y1159" s="7"/>
      <c r="Z1159" s="7"/>
      <c r="AA1159" s="7"/>
      <c r="AB1159" s="7">
        <v>0.33333333333333298</v>
      </c>
      <c r="AC1159" s="7">
        <f t="shared" si="90"/>
        <v>0</v>
      </c>
      <c r="AD1159" s="7"/>
      <c r="AE1159" s="7"/>
      <c r="AF1159" s="7"/>
      <c r="AG1159" s="7"/>
      <c r="AH1159" s="7"/>
      <c r="AI1159" s="7"/>
      <c r="AJ1159" s="7"/>
      <c r="AK1159" s="7"/>
      <c r="AL1159" s="9"/>
      <c r="AM1159" s="7"/>
      <c r="AN1159" s="7"/>
      <c r="AO1159" s="15" t="s">
        <v>2577</v>
      </c>
    </row>
    <row r="1160" spans="1:41" s="11" customFormat="1" x14ac:dyDescent="0.25">
      <c r="A1160" s="2">
        <v>1159</v>
      </c>
      <c r="B1160" s="7" t="s">
        <v>987</v>
      </c>
      <c r="C1160" s="7" t="s">
        <v>89</v>
      </c>
      <c r="D1160" s="7" t="s">
        <v>1007</v>
      </c>
      <c r="E1160" s="7">
        <f>31+13</f>
        <v>44</v>
      </c>
      <c r="F1160" s="8">
        <v>3</v>
      </c>
      <c r="G1160" s="8">
        <v>3</v>
      </c>
      <c r="H1160" s="7" t="s">
        <v>97</v>
      </c>
      <c r="I1160" s="7">
        <v>3</v>
      </c>
      <c r="J1160" s="9" t="s">
        <v>353</v>
      </c>
      <c r="K1160" s="7"/>
      <c r="L1160" s="7" t="s">
        <v>38</v>
      </c>
      <c r="M1160" s="7">
        <f t="shared" si="89"/>
        <v>0</v>
      </c>
      <c r="N1160" s="9"/>
      <c r="O1160" s="7"/>
      <c r="P1160" s="9"/>
      <c r="Q1160" s="7"/>
      <c r="R1160" s="7"/>
      <c r="S1160" s="7"/>
      <c r="T1160" s="7"/>
      <c r="U1160" s="7"/>
      <c r="V1160" s="7"/>
      <c r="W1160" s="7"/>
      <c r="X1160" s="7">
        <v>3</v>
      </c>
      <c r="Y1160" s="7"/>
      <c r="Z1160" s="7"/>
      <c r="AA1160" s="7"/>
      <c r="AB1160" s="7">
        <f>(U1160+X1160+Z1160)/3</f>
        <v>1</v>
      </c>
      <c r="AC1160" s="7">
        <f t="shared" si="90"/>
        <v>0</v>
      </c>
      <c r="AD1160" s="7"/>
      <c r="AE1160" s="7"/>
      <c r="AF1160" s="7"/>
      <c r="AG1160" s="7"/>
      <c r="AH1160" s="7"/>
      <c r="AI1160" s="7"/>
      <c r="AJ1160" s="7"/>
      <c r="AK1160" s="7"/>
      <c r="AL1160" s="9"/>
      <c r="AM1160" s="7" t="s">
        <v>71</v>
      </c>
      <c r="AN1160" s="7" t="s">
        <v>71</v>
      </c>
      <c r="AO1160" s="12"/>
    </row>
    <row r="1161" spans="1:41" s="11" customFormat="1" x14ac:dyDescent="0.25">
      <c r="A1161" s="2">
        <v>1160</v>
      </c>
      <c r="B1161" s="7" t="s">
        <v>987</v>
      </c>
      <c r="C1161" s="7" t="s">
        <v>577</v>
      </c>
      <c r="D1161" s="7">
        <v>356</v>
      </c>
      <c r="E1161" s="7">
        <v>356</v>
      </c>
      <c r="F1161" s="8">
        <v>15</v>
      </c>
      <c r="G1161" s="8">
        <v>15</v>
      </c>
      <c r="H1161" s="7" t="s">
        <v>1008</v>
      </c>
      <c r="I1161" s="7">
        <v>15</v>
      </c>
      <c r="J1161" s="9" t="s">
        <v>639</v>
      </c>
      <c r="K1161" s="7"/>
      <c r="L1161" s="7" t="s">
        <v>38</v>
      </c>
      <c r="M1161" s="7">
        <f t="shared" si="89"/>
        <v>0</v>
      </c>
      <c r="N1161" s="9"/>
      <c r="O1161" s="7"/>
      <c r="P1161" s="9"/>
      <c r="Q1161" s="7"/>
      <c r="R1161" s="7"/>
      <c r="S1161" s="7"/>
      <c r="T1161" s="7"/>
      <c r="U1161" s="7"/>
      <c r="V1161" s="7"/>
      <c r="W1161" s="7"/>
      <c r="X1161" s="7"/>
      <c r="Y1161" s="7"/>
      <c r="Z1161" s="7"/>
      <c r="AA1161" s="7"/>
      <c r="AB1161" s="7">
        <v>0.33333333333333298</v>
      </c>
      <c r="AC1161" s="7">
        <f t="shared" si="90"/>
        <v>0</v>
      </c>
      <c r="AD1161" s="7"/>
      <c r="AE1161" s="7"/>
      <c r="AF1161" s="7"/>
      <c r="AG1161" s="7"/>
      <c r="AH1161" s="7"/>
      <c r="AI1161" s="7"/>
      <c r="AJ1161" s="7"/>
      <c r="AK1161" s="7"/>
      <c r="AL1161" s="9"/>
      <c r="AM1161" s="7"/>
      <c r="AN1161" s="7"/>
      <c r="AO1161" s="15" t="s">
        <v>2636</v>
      </c>
    </row>
    <row r="1162" spans="1:41" s="11" customFormat="1" ht="36" x14ac:dyDescent="0.25">
      <c r="A1162" s="2">
        <v>1161</v>
      </c>
      <c r="B1162" s="7" t="s">
        <v>987</v>
      </c>
      <c r="C1162" s="7" t="s">
        <v>309</v>
      </c>
      <c r="D1162" s="7" t="s">
        <v>1009</v>
      </c>
      <c r="E1162" s="7">
        <v>19</v>
      </c>
      <c r="F1162" s="8">
        <v>1</v>
      </c>
      <c r="G1162" s="8">
        <v>4</v>
      </c>
      <c r="H1162" s="7">
        <v>4</v>
      </c>
      <c r="I1162" s="7">
        <v>4</v>
      </c>
      <c r="J1162" s="9" t="s">
        <v>35</v>
      </c>
      <c r="K1162" s="7">
        <v>1</v>
      </c>
      <c r="L1162" s="7" t="s">
        <v>52</v>
      </c>
      <c r="M1162" s="7">
        <f t="shared" si="89"/>
        <v>1</v>
      </c>
      <c r="N1162" s="9" t="s">
        <v>34</v>
      </c>
      <c r="O1162" s="7">
        <v>0</v>
      </c>
      <c r="P1162" s="9" t="s">
        <v>63</v>
      </c>
      <c r="Q1162" s="7" t="s">
        <v>38</v>
      </c>
      <c r="R1162" s="7" t="s">
        <v>38</v>
      </c>
      <c r="S1162" s="7"/>
      <c r="T1162" s="7"/>
      <c r="U1162" s="7"/>
      <c r="V1162" s="7"/>
      <c r="W1162" s="7"/>
      <c r="X1162" s="7">
        <v>3</v>
      </c>
      <c r="Y1162" s="7"/>
      <c r="Z1162" s="7"/>
      <c r="AA1162" s="7"/>
      <c r="AB1162" s="7">
        <f t="shared" ref="AB1162:AB1168" si="91">(U1162+X1162+Z1162)/3</f>
        <v>1</v>
      </c>
      <c r="AC1162" s="7">
        <f t="shared" si="90"/>
        <v>1</v>
      </c>
      <c r="AD1162" s="7"/>
      <c r="AE1162" s="7">
        <v>2</v>
      </c>
      <c r="AF1162" s="7"/>
      <c r="AG1162" s="7" t="s">
        <v>1010</v>
      </c>
      <c r="AH1162" s="7" t="s">
        <v>38</v>
      </c>
      <c r="AI1162" s="7"/>
      <c r="AJ1162" s="7"/>
      <c r="AK1162" s="7"/>
      <c r="AL1162" s="9"/>
      <c r="AM1162" s="7" t="s">
        <v>71</v>
      </c>
      <c r="AN1162" s="7" t="s">
        <v>71</v>
      </c>
      <c r="AO1162" s="12"/>
    </row>
    <row r="1163" spans="1:41" s="11" customFormat="1" x14ac:dyDescent="0.25">
      <c r="A1163" s="2">
        <v>1162</v>
      </c>
      <c r="B1163" s="7" t="s">
        <v>987</v>
      </c>
      <c r="C1163" s="7" t="s">
        <v>104</v>
      </c>
      <c r="D1163" s="7">
        <v>9</v>
      </c>
      <c r="E1163" s="7">
        <v>9</v>
      </c>
      <c r="F1163" s="8">
        <v>1</v>
      </c>
      <c r="G1163" s="8">
        <v>1</v>
      </c>
      <c r="H1163" s="7">
        <v>1</v>
      </c>
      <c r="I1163" s="7">
        <v>1</v>
      </c>
      <c r="J1163" s="9" t="s">
        <v>35</v>
      </c>
      <c r="K1163" s="7">
        <v>1</v>
      </c>
      <c r="L1163" s="7" t="s">
        <v>52</v>
      </c>
      <c r="M1163" s="7">
        <f t="shared" si="89"/>
        <v>1</v>
      </c>
      <c r="N1163" s="9" t="s">
        <v>36</v>
      </c>
      <c r="O1163" s="7">
        <v>0</v>
      </c>
      <c r="P1163" s="9" t="s">
        <v>34</v>
      </c>
      <c r="Q1163" s="7" t="s">
        <v>52</v>
      </c>
      <c r="R1163" s="7" t="s">
        <v>38</v>
      </c>
      <c r="S1163" s="10" t="s">
        <v>2073</v>
      </c>
      <c r="T1163" s="7"/>
      <c r="U1163" s="7"/>
      <c r="V1163" s="7"/>
      <c r="W1163" s="7"/>
      <c r="X1163" s="7">
        <v>3</v>
      </c>
      <c r="Y1163" s="7"/>
      <c r="Z1163" s="7"/>
      <c r="AA1163" s="7"/>
      <c r="AB1163" s="7">
        <f t="shared" si="91"/>
        <v>1</v>
      </c>
      <c r="AC1163" s="7">
        <f t="shared" si="90"/>
        <v>1</v>
      </c>
      <c r="AD1163" s="7"/>
      <c r="AE1163" s="7">
        <v>1</v>
      </c>
      <c r="AF1163" s="7"/>
      <c r="AG1163" s="7" t="s">
        <v>1011</v>
      </c>
      <c r="AH1163" s="7" t="s">
        <v>38</v>
      </c>
      <c r="AI1163" s="7"/>
      <c r="AJ1163" s="7"/>
      <c r="AK1163" s="7"/>
      <c r="AL1163" s="9"/>
      <c r="AM1163" s="7" t="s">
        <v>71</v>
      </c>
      <c r="AN1163" s="7" t="s">
        <v>71</v>
      </c>
      <c r="AO1163" s="12"/>
    </row>
    <row r="1164" spans="1:41" s="11" customFormat="1" x14ac:dyDescent="0.25">
      <c r="A1164" s="2">
        <v>1163</v>
      </c>
      <c r="B1164" s="7" t="s">
        <v>987</v>
      </c>
      <c r="C1164" s="7" t="s">
        <v>104</v>
      </c>
      <c r="D1164" s="7">
        <v>10</v>
      </c>
      <c r="E1164" s="7">
        <v>10</v>
      </c>
      <c r="F1164" s="8">
        <v>1</v>
      </c>
      <c r="G1164" s="8">
        <v>1</v>
      </c>
      <c r="H1164" s="7">
        <v>1</v>
      </c>
      <c r="I1164" s="7">
        <v>1</v>
      </c>
      <c r="J1164" s="9" t="s">
        <v>77</v>
      </c>
      <c r="K1164" s="7">
        <v>1</v>
      </c>
      <c r="L1164" s="7" t="s">
        <v>38</v>
      </c>
      <c r="M1164" s="7">
        <f t="shared" si="89"/>
        <v>0</v>
      </c>
      <c r="N1164" s="9" t="s">
        <v>34</v>
      </c>
      <c r="O1164" s="7">
        <v>0</v>
      </c>
      <c r="P1164" s="9" t="s">
        <v>63</v>
      </c>
      <c r="Q1164" s="7" t="s">
        <v>38</v>
      </c>
      <c r="R1164" s="7" t="s">
        <v>38</v>
      </c>
      <c r="S1164" s="10" t="s">
        <v>1871</v>
      </c>
      <c r="T1164" s="7"/>
      <c r="U1164" s="7"/>
      <c r="V1164" s="7"/>
      <c r="W1164" s="7"/>
      <c r="X1164" s="7">
        <v>3</v>
      </c>
      <c r="Y1164" s="7"/>
      <c r="Z1164" s="7"/>
      <c r="AA1164" s="7"/>
      <c r="AB1164" s="7">
        <f t="shared" si="91"/>
        <v>1</v>
      </c>
      <c r="AC1164" s="7">
        <f t="shared" si="90"/>
        <v>0</v>
      </c>
      <c r="AD1164" s="7"/>
      <c r="AE1164" s="7">
        <v>1</v>
      </c>
      <c r="AF1164" s="7" t="s">
        <v>40</v>
      </c>
      <c r="AG1164" s="7" t="s">
        <v>120</v>
      </c>
      <c r="AH1164" s="7"/>
      <c r="AI1164" s="7"/>
      <c r="AJ1164" s="7"/>
      <c r="AK1164" s="7"/>
      <c r="AL1164" s="9"/>
      <c r="AM1164" s="7" t="s">
        <v>71</v>
      </c>
      <c r="AN1164" s="7" t="s">
        <v>71</v>
      </c>
      <c r="AO1164" s="12"/>
    </row>
    <row r="1165" spans="1:41" s="11" customFormat="1" x14ac:dyDescent="0.25">
      <c r="A1165" s="2">
        <v>1164</v>
      </c>
      <c r="B1165" s="7" t="s">
        <v>987</v>
      </c>
      <c r="C1165" s="7" t="s">
        <v>89</v>
      </c>
      <c r="D1165" s="7" t="s">
        <v>1012</v>
      </c>
      <c r="E1165" s="7">
        <v>20</v>
      </c>
      <c r="F1165" s="8">
        <v>3</v>
      </c>
      <c r="G1165" s="8">
        <v>3</v>
      </c>
      <c r="H1165" s="7" t="s">
        <v>97</v>
      </c>
      <c r="I1165" s="7">
        <v>3</v>
      </c>
      <c r="J1165" s="9" t="s">
        <v>70</v>
      </c>
      <c r="K1165" s="7">
        <v>1</v>
      </c>
      <c r="L1165" s="7" t="s">
        <v>52</v>
      </c>
      <c r="M1165" s="7">
        <f t="shared" si="89"/>
        <v>3</v>
      </c>
      <c r="N1165" s="9"/>
      <c r="O1165" s="7"/>
      <c r="P1165" s="9"/>
      <c r="Q1165" s="7"/>
      <c r="R1165" s="7"/>
      <c r="S1165" s="7"/>
      <c r="T1165" s="7"/>
      <c r="U1165" s="7"/>
      <c r="V1165" s="7"/>
      <c r="W1165" s="7"/>
      <c r="X1165" s="7">
        <v>3</v>
      </c>
      <c r="Y1165" s="7"/>
      <c r="Z1165" s="7"/>
      <c r="AA1165" s="7"/>
      <c r="AB1165" s="7">
        <f t="shared" si="91"/>
        <v>1</v>
      </c>
      <c r="AC1165" s="7">
        <f t="shared" si="90"/>
        <v>1</v>
      </c>
      <c r="AD1165" s="7"/>
      <c r="AE1165" s="7"/>
      <c r="AF1165" s="7"/>
      <c r="AG1165" s="7"/>
      <c r="AH1165" s="7"/>
      <c r="AI1165" s="7"/>
      <c r="AJ1165" s="7"/>
      <c r="AK1165" s="7"/>
      <c r="AL1165" s="9"/>
      <c r="AM1165" s="7" t="s">
        <v>71</v>
      </c>
      <c r="AN1165" s="7" t="s">
        <v>71</v>
      </c>
      <c r="AO1165" s="12"/>
    </row>
    <row r="1166" spans="1:41" s="11" customFormat="1" x14ac:dyDescent="0.25">
      <c r="A1166" s="2">
        <v>1165</v>
      </c>
      <c r="B1166" s="7" t="s">
        <v>987</v>
      </c>
      <c r="C1166" s="7" t="s">
        <v>50</v>
      </c>
      <c r="D1166" s="7">
        <v>14</v>
      </c>
      <c r="E1166" s="7">
        <v>14</v>
      </c>
      <c r="F1166" s="8">
        <v>1</v>
      </c>
      <c r="G1166" s="8">
        <v>1</v>
      </c>
      <c r="H1166" s="7">
        <v>1</v>
      </c>
      <c r="I1166" s="7">
        <v>1</v>
      </c>
      <c r="J1166" s="9" t="s">
        <v>70</v>
      </c>
      <c r="K1166" s="7">
        <v>1</v>
      </c>
      <c r="L1166" s="7" t="s">
        <v>52</v>
      </c>
      <c r="M1166" s="7">
        <f t="shared" si="89"/>
        <v>1</v>
      </c>
      <c r="N1166" s="9" t="s">
        <v>82</v>
      </c>
      <c r="O1166" s="7">
        <v>0</v>
      </c>
      <c r="P1166" s="9" t="s">
        <v>36</v>
      </c>
      <c r="Q1166" s="7" t="s">
        <v>38</v>
      </c>
      <c r="R1166" s="7" t="s">
        <v>38</v>
      </c>
      <c r="S1166" s="10" t="s">
        <v>1492</v>
      </c>
      <c r="T1166" s="7"/>
      <c r="U1166" s="7"/>
      <c r="V1166" s="7"/>
      <c r="W1166" s="7"/>
      <c r="X1166" s="7"/>
      <c r="Y1166" s="7">
        <v>25</v>
      </c>
      <c r="Z1166" s="7">
        <v>25</v>
      </c>
      <c r="AA1166" s="7">
        <v>70</v>
      </c>
      <c r="AB1166" s="7">
        <f t="shared" si="91"/>
        <v>8.3333333333333339</v>
      </c>
      <c r="AC1166" s="7">
        <f t="shared" si="90"/>
        <v>8.3333333333333339</v>
      </c>
      <c r="AD1166" s="7"/>
      <c r="AE1166" s="7"/>
      <c r="AF1166" s="7"/>
      <c r="AG1166" s="7"/>
      <c r="AH1166" s="7"/>
      <c r="AI1166" s="7"/>
      <c r="AJ1166" s="7"/>
      <c r="AK1166" s="7"/>
      <c r="AL1166" s="9"/>
      <c r="AM1166" s="7" t="s">
        <v>71</v>
      </c>
      <c r="AN1166" s="7" t="s">
        <v>71</v>
      </c>
      <c r="AO1166" s="12"/>
    </row>
    <row r="1167" spans="1:41" s="11" customFormat="1" x14ac:dyDescent="0.25">
      <c r="A1167" s="2">
        <v>1166</v>
      </c>
      <c r="B1167" s="7" t="s">
        <v>987</v>
      </c>
      <c r="C1167" s="7" t="s">
        <v>50</v>
      </c>
      <c r="D1167" s="7">
        <v>8</v>
      </c>
      <c r="E1167" s="7">
        <v>8</v>
      </c>
      <c r="F1167" s="8">
        <v>1</v>
      </c>
      <c r="G1167" s="8">
        <v>1</v>
      </c>
      <c r="H1167" s="7">
        <v>1</v>
      </c>
      <c r="I1167" s="7">
        <v>1</v>
      </c>
      <c r="J1167" s="9" t="s">
        <v>70</v>
      </c>
      <c r="K1167" s="7">
        <v>1</v>
      </c>
      <c r="L1167" s="7" t="s">
        <v>52</v>
      </c>
      <c r="M1167" s="7">
        <f t="shared" si="89"/>
        <v>1</v>
      </c>
      <c r="N1167" s="9" t="s">
        <v>82</v>
      </c>
      <c r="O1167" s="7">
        <v>0</v>
      </c>
      <c r="P1167" s="9" t="s">
        <v>34</v>
      </c>
      <c r="Q1167" s="7" t="s">
        <v>38</v>
      </c>
      <c r="R1167" s="7"/>
      <c r="S1167" s="10" t="s">
        <v>2074</v>
      </c>
      <c r="T1167" s="7"/>
      <c r="U1167" s="7"/>
      <c r="V1167" s="7"/>
      <c r="W1167" s="7"/>
      <c r="X1167" s="7"/>
      <c r="Y1167" s="7">
        <v>10</v>
      </c>
      <c r="Z1167" s="7">
        <v>10</v>
      </c>
      <c r="AA1167" s="7">
        <v>70</v>
      </c>
      <c r="AB1167" s="7">
        <f t="shared" si="91"/>
        <v>3.3333333333333335</v>
      </c>
      <c r="AC1167" s="7">
        <f t="shared" si="90"/>
        <v>3.3333333333333335</v>
      </c>
      <c r="AD1167" s="7"/>
      <c r="AE1167" s="7"/>
      <c r="AF1167" s="7"/>
      <c r="AG1167" s="7"/>
      <c r="AH1167" s="7"/>
      <c r="AI1167" s="7"/>
      <c r="AJ1167" s="7"/>
      <c r="AK1167" s="7"/>
      <c r="AL1167" s="9"/>
      <c r="AM1167" s="7" t="s">
        <v>71</v>
      </c>
      <c r="AN1167" s="7" t="s">
        <v>71</v>
      </c>
      <c r="AO1167" s="12"/>
    </row>
    <row r="1168" spans="1:41" s="11" customFormat="1" x14ac:dyDescent="0.25">
      <c r="A1168" s="2">
        <v>1167</v>
      </c>
      <c r="B1168" s="7" t="s">
        <v>987</v>
      </c>
      <c r="C1168" s="7" t="s">
        <v>89</v>
      </c>
      <c r="D1168" s="7" t="s">
        <v>159</v>
      </c>
      <c r="E1168" s="7">
        <v>6</v>
      </c>
      <c r="F1168" s="8">
        <v>2</v>
      </c>
      <c r="G1168" s="8">
        <v>2</v>
      </c>
      <c r="H1168" s="7" t="s">
        <v>87</v>
      </c>
      <c r="I1168" s="7">
        <v>2</v>
      </c>
      <c r="J1168" s="9" t="s">
        <v>35</v>
      </c>
      <c r="K1168" s="7">
        <v>2</v>
      </c>
      <c r="L1168" s="7" t="s">
        <v>52</v>
      </c>
      <c r="M1168" s="7">
        <f t="shared" si="89"/>
        <v>2</v>
      </c>
      <c r="N1168" s="9"/>
      <c r="O1168" s="7"/>
      <c r="P1168" s="9"/>
      <c r="Q1168" s="7"/>
      <c r="R1168" s="7"/>
      <c r="S1168" s="7"/>
      <c r="T1168" s="7"/>
      <c r="U1168" s="7"/>
      <c r="V1168" s="7"/>
      <c r="W1168" s="7"/>
      <c r="X1168" s="7">
        <v>3</v>
      </c>
      <c r="Y1168" s="7"/>
      <c r="Z1168" s="7"/>
      <c r="AA1168" s="7"/>
      <c r="AB1168" s="7">
        <f t="shared" si="91"/>
        <v>1</v>
      </c>
      <c r="AC1168" s="7">
        <f t="shared" si="90"/>
        <v>1</v>
      </c>
      <c r="AD1168" s="7"/>
      <c r="AE1168" s="7"/>
      <c r="AF1168" s="7"/>
      <c r="AG1168" s="7"/>
      <c r="AH1168" s="7"/>
      <c r="AI1168" s="7"/>
      <c r="AJ1168" s="7"/>
      <c r="AK1168" s="7"/>
      <c r="AL1168" s="9"/>
      <c r="AM1168" s="7" t="s">
        <v>71</v>
      </c>
      <c r="AN1168" s="7" t="s">
        <v>71</v>
      </c>
      <c r="AO1168" s="12"/>
    </row>
    <row r="1169" spans="1:41" s="11" customFormat="1" x14ac:dyDescent="0.25">
      <c r="A1169" s="2">
        <v>1168</v>
      </c>
      <c r="B1169" s="7" t="s">
        <v>987</v>
      </c>
      <c r="C1169" s="7" t="s">
        <v>100</v>
      </c>
      <c r="D1169" s="7">
        <v>18</v>
      </c>
      <c r="E1169" s="7">
        <v>18</v>
      </c>
      <c r="F1169" s="8">
        <v>1</v>
      </c>
      <c r="G1169" s="8">
        <v>1</v>
      </c>
      <c r="H1169" s="7">
        <v>1</v>
      </c>
      <c r="I1169" s="7">
        <v>1</v>
      </c>
      <c r="J1169" s="9" t="s">
        <v>353</v>
      </c>
      <c r="K1169" s="7"/>
      <c r="L1169" s="7" t="s">
        <v>38</v>
      </c>
      <c r="M1169" s="7">
        <f t="shared" si="89"/>
        <v>0</v>
      </c>
      <c r="N1169" s="9"/>
      <c r="O1169" s="7"/>
      <c r="P1169" s="9"/>
      <c r="Q1169" s="7"/>
      <c r="R1169" s="7"/>
      <c r="S1169" s="7"/>
      <c r="T1169" s="7"/>
      <c r="U1169" s="7"/>
      <c r="V1169" s="7"/>
      <c r="W1169" s="7"/>
      <c r="X1169" s="7"/>
      <c r="Y1169" s="7"/>
      <c r="Z1169" s="7"/>
      <c r="AA1169" s="7"/>
      <c r="AB1169" s="7">
        <v>0.33333333333333298</v>
      </c>
      <c r="AC1169" s="7">
        <f t="shared" si="90"/>
        <v>0</v>
      </c>
      <c r="AD1169" s="7"/>
      <c r="AE1169" s="7"/>
      <c r="AF1169" s="7"/>
      <c r="AG1169" s="7"/>
      <c r="AH1169" s="7"/>
      <c r="AI1169" s="7"/>
      <c r="AJ1169" s="7"/>
      <c r="AK1169" s="7"/>
      <c r="AL1169" s="9"/>
      <c r="AM1169" s="7" t="s">
        <v>71</v>
      </c>
      <c r="AN1169" s="7" t="s">
        <v>71</v>
      </c>
      <c r="AO1169" s="12"/>
    </row>
    <row r="1170" spans="1:41" s="11" customFormat="1" x14ac:dyDescent="0.25">
      <c r="A1170" s="2">
        <v>1169</v>
      </c>
      <c r="B1170" s="7" t="s">
        <v>987</v>
      </c>
      <c r="C1170" s="7" t="s">
        <v>577</v>
      </c>
      <c r="D1170" s="7">
        <v>299</v>
      </c>
      <c r="E1170" s="7">
        <v>299</v>
      </c>
      <c r="F1170" s="8">
        <v>15</v>
      </c>
      <c r="G1170" s="8">
        <v>17</v>
      </c>
      <c r="H1170" s="7" t="s">
        <v>1013</v>
      </c>
      <c r="I1170" s="7">
        <v>17</v>
      </c>
      <c r="J1170" s="9" t="s">
        <v>639</v>
      </c>
      <c r="K1170" s="7"/>
      <c r="L1170" s="7" t="s">
        <v>38</v>
      </c>
      <c r="M1170" s="7">
        <f t="shared" si="89"/>
        <v>0</v>
      </c>
      <c r="N1170" s="9"/>
      <c r="O1170" s="7"/>
      <c r="P1170" s="9"/>
      <c r="Q1170" s="7"/>
      <c r="R1170" s="7"/>
      <c r="S1170" s="7"/>
      <c r="T1170" s="7"/>
      <c r="U1170" s="7"/>
      <c r="V1170" s="7"/>
      <c r="W1170" s="7"/>
      <c r="X1170" s="7"/>
      <c r="Y1170" s="7"/>
      <c r="Z1170" s="7"/>
      <c r="AA1170" s="7"/>
      <c r="AB1170" s="7">
        <v>0.33333333333333298</v>
      </c>
      <c r="AC1170" s="7">
        <f t="shared" si="90"/>
        <v>0</v>
      </c>
      <c r="AD1170" s="7"/>
      <c r="AE1170" s="7"/>
      <c r="AF1170" s="7"/>
      <c r="AG1170" s="7"/>
      <c r="AH1170" s="7"/>
      <c r="AI1170" s="7"/>
      <c r="AJ1170" s="7"/>
      <c r="AK1170" s="7"/>
      <c r="AL1170" s="9"/>
      <c r="AM1170" s="7"/>
      <c r="AN1170" s="7"/>
      <c r="AO1170" s="15" t="s">
        <v>2637</v>
      </c>
    </row>
    <row r="1171" spans="1:41" s="11" customFormat="1" x14ac:dyDescent="0.25">
      <c r="A1171" s="2">
        <v>1170</v>
      </c>
      <c r="B1171" s="7" t="s">
        <v>1014</v>
      </c>
      <c r="C1171" s="7" t="s">
        <v>104</v>
      </c>
      <c r="D1171" s="7">
        <v>5</v>
      </c>
      <c r="E1171" s="7">
        <v>5</v>
      </c>
      <c r="F1171" s="8">
        <v>1</v>
      </c>
      <c r="G1171" s="8">
        <v>1</v>
      </c>
      <c r="H1171" s="7">
        <v>1</v>
      </c>
      <c r="I1171" s="7">
        <v>1</v>
      </c>
      <c r="J1171" s="9" t="s">
        <v>35</v>
      </c>
      <c r="K1171" s="7">
        <v>2</v>
      </c>
      <c r="L1171" s="7" t="s">
        <v>52</v>
      </c>
      <c r="M1171" s="7">
        <f t="shared" si="89"/>
        <v>1</v>
      </c>
      <c r="N1171" s="9" t="s">
        <v>34</v>
      </c>
      <c r="O1171" s="7">
        <v>0</v>
      </c>
      <c r="P1171" s="9" t="s">
        <v>63</v>
      </c>
      <c r="Q1171" s="7" t="s">
        <v>52</v>
      </c>
      <c r="R1171" s="7" t="s">
        <v>38</v>
      </c>
      <c r="S1171" s="10" t="s">
        <v>2075</v>
      </c>
      <c r="T1171" s="7"/>
      <c r="U1171" s="7"/>
      <c r="V1171" s="7"/>
      <c r="W1171" s="7"/>
      <c r="X1171" s="7">
        <v>3</v>
      </c>
      <c r="Y1171" s="7"/>
      <c r="Z1171" s="7"/>
      <c r="AA1171" s="7"/>
      <c r="AB1171" s="7">
        <f>(U1171+X1171+Z1171)/3</f>
        <v>1</v>
      </c>
      <c r="AC1171" s="7">
        <f t="shared" si="90"/>
        <v>1</v>
      </c>
      <c r="AD1171" s="7"/>
      <c r="AE1171" s="7">
        <v>1</v>
      </c>
      <c r="AF1171" s="7" t="s">
        <v>40</v>
      </c>
      <c r="AG1171" s="7" t="s">
        <v>1015</v>
      </c>
      <c r="AH1171" s="7"/>
      <c r="AI1171" s="7"/>
      <c r="AJ1171" s="7"/>
      <c r="AK1171" s="7"/>
      <c r="AL1171" s="9"/>
      <c r="AM1171" s="7" t="s">
        <v>71</v>
      </c>
      <c r="AN1171" s="7" t="s">
        <v>71</v>
      </c>
      <c r="AO1171" s="12"/>
    </row>
    <row r="1172" spans="1:41" s="11" customFormat="1" x14ac:dyDescent="0.25">
      <c r="A1172" s="2">
        <v>1171</v>
      </c>
      <c r="B1172" s="7" t="s">
        <v>1014</v>
      </c>
      <c r="C1172" s="7" t="s">
        <v>50</v>
      </c>
      <c r="D1172" s="7">
        <v>109</v>
      </c>
      <c r="E1172" s="7">
        <v>109</v>
      </c>
      <c r="F1172" s="8">
        <v>1</v>
      </c>
      <c r="G1172" s="8">
        <v>1</v>
      </c>
      <c r="H1172" s="7">
        <v>1</v>
      </c>
      <c r="I1172" s="7">
        <v>1</v>
      </c>
      <c r="J1172" s="9" t="s">
        <v>77</v>
      </c>
      <c r="K1172" s="7">
        <v>1</v>
      </c>
      <c r="L1172" s="7" t="s">
        <v>52</v>
      </c>
      <c r="M1172" s="7">
        <f t="shared" si="89"/>
        <v>1</v>
      </c>
      <c r="N1172" s="9" t="s">
        <v>36</v>
      </c>
      <c r="O1172" s="7">
        <v>0</v>
      </c>
      <c r="P1172" s="9" t="s">
        <v>63</v>
      </c>
      <c r="Q1172" s="7" t="s">
        <v>38</v>
      </c>
      <c r="R1172" s="7" t="s">
        <v>38</v>
      </c>
      <c r="S1172" s="10" t="s">
        <v>2076</v>
      </c>
      <c r="T1172" s="7"/>
      <c r="U1172" s="7"/>
      <c r="V1172" s="7"/>
      <c r="W1172" s="7"/>
      <c r="X1172" s="7"/>
      <c r="Y1172" s="7">
        <v>100</v>
      </c>
      <c r="Z1172" s="7">
        <v>100</v>
      </c>
      <c r="AA1172" s="7">
        <v>72</v>
      </c>
      <c r="AB1172" s="7">
        <f>(U1172+X1172+Z1172)/3</f>
        <v>33.333333333333336</v>
      </c>
      <c r="AC1172" s="7">
        <f t="shared" si="90"/>
        <v>33.333333333333336</v>
      </c>
      <c r="AD1172" s="7"/>
      <c r="AE1172" s="7"/>
      <c r="AF1172" s="7"/>
      <c r="AG1172" s="7"/>
      <c r="AH1172" s="7"/>
      <c r="AI1172" s="7"/>
      <c r="AJ1172" s="7"/>
      <c r="AK1172" s="7"/>
      <c r="AL1172" s="9"/>
      <c r="AM1172" s="7" t="s">
        <v>71</v>
      </c>
      <c r="AN1172" s="7" t="s">
        <v>71</v>
      </c>
      <c r="AO1172" s="12"/>
    </row>
    <row r="1173" spans="1:41" s="11" customFormat="1" x14ac:dyDescent="0.25">
      <c r="A1173" s="2">
        <v>1172</v>
      </c>
      <c r="B1173" s="7" t="s">
        <v>1014</v>
      </c>
      <c r="C1173" s="7" t="s">
        <v>104</v>
      </c>
      <c r="D1173" s="7">
        <v>5</v>
      </c>
      <c r="E1173" s="7">
        <v>5</v>
      </c>
      <c r="F1173" s="8">
        <v>1</v>
      </c>
      <c r="G1173" s="8">
        <v>1</v>
      </c>
      <c r="H1173" s="7">
        <v>1</v>
      </c>
      <c r="I1173" s="7">
        <v>1</v>
      </c>
      <c r="J1173" s="9" t="s">
        <v>77</v>
      </c>
      <c r="K1173" s="7">
        <v>1</v>
      </c>
      <c r="L1173" s="7" t="s">
        <v>38</v>
      </c>
      <c r="M1173" s="7">
        <f t="shared" si="89"/>
        <v>0</v>
      </c>
      <c r="N1173" s="9" t="s">
        <v>36</v>
      </c>
      <c r="O1173" s="7">
        <v>0</v>
      </c>
      <c r="P1173" s="9" t="s">
        <v>34</v>
      </c>
      <c r="Q1173" s="7" t="s">
        <v>38</v>
      </c>
      <c r="R1173" s="7" t="s">
        <v>38</v>
      </c>
      <c r="S1173" s="7"/>
      <c r="T1173" s="7"/>
      <c r="U1173" s="7"/>
      <c r="V1173" s="7"/>
      <c r="W1173" s="7"/>
      <c r="X1173" s="7">
        <v>3</v>
      </c>
      <c r="Y1173" s="7"/>
      <c r="Z1173" s="7"/>
      <c r="AA1173" s="7"/>
      <c r="AB1173" s="7">
        <f>(U1173+X1173+Z1173)/3</f>
        <v>1</v>
      </c>
      <c r="AC1173" s="7">
        <f t="shared" si="90"/>
        <v>0</v>
      </c>
      <c r="AD1173" s="7"/>
      <c r="AE1173" s="7">
        <v>1</v>
      </c>
      <c r="AF1173" s="7"/>
      <c r="AG1173" s="7" t="s">
        <v>490</v>
      </c>
      <c r="AH1173" s="7"/>
      <c r="AI1173" s="7"/>
      <c r="AJ1173" s="7"/>
      <c r="AK1173" s="7"/>
      <c r="AL1173" s="9"/>
      <c r="AM1173" s="7" t="s">
        <v>71</v>
      </c>
      <c r="AN1173" s="7" t="s">
        <v>71</v>
      </c>
      <c r="AO1173" s="12"/>
    </row>
    <row r="1174" spans="1:41" s="11" customFormat="1" x14ac:dyDescent="0.25">
      <c r="A1174" s="2">
        <v>1173</v>
      </c>
      <c r="B1174" s="7" t="s">
        <v>1014</v>
      </c>
      <c r="C1174" s="7" t="s">
        <v>100</v>
      </c>
      <c r="D1174" s="7">
        <v>3</v>
      </c>
      <c r="E1174" s="7">
        <v>3</v>
      </c>
      <c r="F1174" s="8">
        <v>1</v>
      </c>
      <c r="G1174" s="8">
        <v>1</v>
      </c>
      <c r="H1174" s="7">
        <v>1</v>
      </c>
      <c r="I1174" s="7">
        <v>1</v>
      </c>
      <c r="J1174" s="9" t="s">
        <v>77</v>
      </c>
      <c r="K1174" s="7">
        <v>1</v>
      </c>
      <c r="L1174" s="7" t="s">
        <v>38</v>
      </c>
      <c r="M1174" s="7">
        <f t="shared" si="89"/>
        <v>0</v>
      </c>
      <c r="N1174" s="9"/>
      <c r="O1174" s="7"/>
      <c r="P1174" s="9"/>
      <c r="Q1174" s="7"/>
      <c r="R1174" s="7"/>
      <c r="S1174" s="7"/>
      <c r="T1174" s="7"/>
      <c r="U1174" s="7"/>
      <c r="V1174" s="7"/>
      <c r="W1174" s="7"/>
      <c r="X1174" s="7">
        <v>3</v>
      </c>
      <c r="Y1174" s="7"/>
      <c r="Z1174" s="7"/>
      <c r="AA1174" s="7"/>
      <c r="AB1174" s="7">
        <f>(U1174+X1174+Z1174)/3</f>
        <v>1</v>
      </c>
      <c r="AC1174" s="7">
        <f t="shared" si="90"/>
        <v>0</v>
      </c>
      <c r="AD1174" s="7"/>
      <c r="AE1174" s="7"/>
      <c r="AF1174" s="7"/>
      <c r="AG1174" s="7"/>
      <c r="AH1174" s="7"/>
      <c r="AI1174" s="7"/>
      <c r="AJ1174" s="7"/>
      <c r="AK1174" s="7"/>
      <c r="AL1174" s="9"/>
      <c r="AM1174" s="7" t="s">
        <v>71</v>
      </c>
      <c r="AN1174" s="7" t="s">
        <v>71</v>
      </c>
      <c r="AO1174" s="12"/>
    </row>
    <row r="1175" spans="1:41" s="11" customFormat="1" x14ac:dyDescent="0.25">
      <c r="A1175" s="2">
        <v>1174</v>
      </c>
      <c r="B1175" s="7" t="s">
        <v>1014</v>
      </c>
      <c r="C1175" s="7" t="s">
        <v>577</v>
      </c>
      <c r="D1175" s="7">
        <v>166</v>
      </c>
      <c r="E1175" s="7">
        <v>166</v>
      </c>
      <c r="F1175" s="8">
        <v>13</v>
      </c>
      <c r="G1175" s="8">
        <v>13</v>
      </c>
      <c r="H1175" s="7" t="s">
        <v>1016</v>
      </c>
      <c r="I1175" s="7">
        <v>13</v>
      </c>
      <c r="J1175" s="9" t="s">
        <v>639</v>
      </c>
      <c r="K1175" s="7"/>
      <c r="L1175" s="7" t="s">
        <v>38</v>
      </c>
      <c r="M1175" s="7">
        <f t="shared" si="89"/>
        <v>0</v>
      </c>
      <c r="N1175" s="9"/>
      <c r="O1175" s="7"/>
      <c r="P1175" s="9"/>
      <c r="Q1175" s="7"/>
      <c r="R1175" s="7"/>
      <c r="S1175" s="7"/>
      <c r="T1175" s="7"/>
      <c r="U1175" s="7"/>
      <c r="V1175" s="7"/>
      <c r="W1175" s="7"/>
      <c r="X1175" s="7"/>
      <c r="Y1175" s="7"/>
      <c r="Z1175" s="7"/>
      <c r="AA1175" s="7"/>
      <c r="AB1175" s="7">
        <v>0.33333333333333298</v>
      </c>
      <c r="AC1175" s="7">
        <f t="shared" si="90"/>
        <v>0</v>
      </c>
      <c r="AD1175" s="7"/>
      <c r="AE1175" s="7"/>
      <c r="AF1175" s="7"/>
      <c r="AG1175" s="7"/>
      <c r="AH1175" s="7"/>
      <c r="AI1175" s="7"/>
      <c r="AJ1175" s="7"/>
      <c r="AK1175" s="7"/>
      <c r="AL1175" s="9"/>
      <c r="AM1175" s="7"/>
      <c r="AN1175" s="7"/>
      <c r="AO1175" s="15" t="s">
        <v>2638</v>
      </c>
    </row>
    <row r="1176" spans="1:41" s="11" customFormat="1" x14ac:dyDescent="0.25">
      <c r="A1176" s="2">
        <v>1175</v>
      </c>
      <c r="B1176" s="7" t="s">
        <v>1017</v>
      </c>
      <c r="C1176" s="7" t="s">
        <v>100</v>
      </c>
      <c r="D1176" s="7">
        <v>9</v>
      </c>
      <c r="E1176" s="7">
        <v>9</v>
      </c>
      <c r="F1176" s="8">
        <v>1</v>
      </c>
      <c r="G1176" s="8">
        <v>1</v>
      </c>
      <c r="H1176" s="7">
        <v>1</v>
      </c>
      <c r="I1176" s="7">
        <v>1</v>
      </c>
      <c r="J1176" s="9" t="s">
        <v>219</v>
      </c>
      <c r="K1176" s="7">
        <v>6</v>
      </c>
      <c r="L1176" s="7" t="s">
        <v>52</v>
      </c>
      <c r="M1176" s="7">
        <f t="shared" si="89"/>
        <v>1</v>
      </c>
      <c r="N1176" s="9"/>
      <c r="O1176" s="7"/>
      <c r="P1176" s="9"/>
      <c r="Q1176" s="7"/>
      <c r="R1176" s="7"/>
      <c r="S1176" s="7"/>
      <c r="T1176" s="7"/>
      <c r="U1176" s="7"/>
      <c r="V1176" s="7"/>
      <c r="W1176" s="7"/>
      <c r="X1176" s="7">
        <v>3</v>
      </c>
      <c r="Y1176" s="7"/>
      <c r="Z1176" s="7"/>
      <c r="AA1176" s="7"/>
      <c r="AB1176" s="7">
        <f t="shared" ref="AB1176:AB1212" si="92">(U1176+X1176+Z1176)/3</f>
        <v>1</v>
      </c>
      <c r="AC1176" s="7">
        <f t="shared" si="90"/>
        <v>1</v>
      </c>
      <c r="AD1176" s="7"/>
      <c r="AE1176" s="7"/>
      <c r="AF1176" s="7"/>
      <c r="AG1176" s="7"/>
      <c r="AH1176" s="7"/>
      <c r="AI1176" s="7"/>
      <c r="AJ1176" s="7"/>
      <c r="AK1176" s="7" t="s">
        <v>1018</v>
      </c>
      <c r="AL1176" s="9"/>
      <c r="AM1176" s="7" t="s">
        <v>71</v>
      </c>
      <c r="AN1176" s="7" t="s">
        <v>71</v>
      </c>
      <c r="AO1176" s="12"/>
    </row>
    <row r="1177" spans="1:41" s="11" customFormat="1" x14ac:dyDescent="0.25">
      <c r="A1177" s="2">
        <v>1176</v>
      </c>
      <c r="B1177" s="7" t="s">
        <v>1017</v>
      </c>
      <c r="C1177" s="7" t="s">
        <v>104</v>
      </c>
      <c r="D1177" s="7">
        <v>9</v>
      </c>
      <c r="E1177" s="7">
        <v>9</v>
      </c>
      <c r="F1177" s="8">
        <v>1</v>
      </c>
      <c r="G1177" s="8">
        <v>1</v>
      </c>
      <c r="H1177" s="7">
        <v>1</v>
      </c>
      <c r="I1177" s="7">
        <v>1</v>
      </c>
      <c r="J1177" s="9" t="s">
        <v>35</v>
      </c>
      <c r="K1177" s="7">
        <v>1</v>
      </c>
      <c r="L1177" s="7" t="s">
        <v>52</v>
      </c>
      <c r="M1177" s="7">
        <f t="shared" si="89"/>
        <v>1</v>
      </c>
      <c r="N1177" s="9" t="s">
        <v>34</v>
      </c>
      <c r="O1177" s="7">
        <v>0</v>
      </c>
      <c r="P1177" s="9" t="s">
        <v>34</v>
      </c>
      <c r="Q1177" s="7" t="s">
        <v>38</v>
      </c>
      <c r="R1177" s="7" t="s">
        <v>38</v>
      </c>
      <c r="S1177" s="13" t="s">
        <v>2036</v>
      </c>
      <c r="T1177" s="7"/>
      <c r="U1177" s="7"/>
      <c r="V1177" s="7"/>
      <c r="W1177" s="7"/>
      <c r="X1177" s="7">
        <v>3</v>
      </c>
      <c r="Y1177" s="7"/>
      <c r="Z1177" s="7"/>
      <c r="AA1177" s="7"/>
      <c r="AB1177" s="7">
        <f t="shared" si="92"/>
        <v>1</v>
      </c>
      <c r="AC1177" s="7">
        <f t="shared" si="90"/>
        <v>1</v>
      </c>
      <c r="AD1177" s="7"/>
      <c r="AE1177" s="7">
        <v>1</v>
      </c>
      <c r="AF1177" s="7" t="s">
        <v>40</v>
      </c>
      <c r="AG1177" s="7" t="s">
        <v>138</v>
      </c>
      <c r="AH1177" s="7"/>
      <c r="AI1177" s="7"/>
      <c r="AJ1177" s="7"/>
      <c r="AK1177" s="7"/>
      <c r="AL1177" s="9"/>
      <c r="AM1177" s="7" t="s">
        <v>71</v>
      </c>
      <c r="AN1177" s="7" t="s">
        <v>71</v>
      </c>
      <c r="AO1177" s="12"/>
    </row>
    <row r="1178" spans="1:41" s="11" customFormat="1" x14ac:dyDescent="0.25">
      <c r="A1178" s="2">
        <v>1177</v>
      </c>
      <c r="B1178" s="7" t="s">
        <v>1017</v>
      </c>
      <c r="C1178" s="7" t="s">
        <v>104</v>
      </c>
      <c r="D1178" s="7">
        <v>8</v>
      </c>
      <c r="E1178" s="7">
        <v>8</v>
      </c>
      <c r="F1178" s="8">
        <v>1</v>
      </c>
      <c r="G1178" s="8">
        <v>1</v>
      </c>
      <c r="H1178" s="7">
        <v>1</v>
      </c>
      <c r="I1178" s="7">
        <v>1</v>
      </c>
      <c r="J1178" s="9" t="s">
        <v>35</v>
      </c>
      <c r="K1178" s="7">
        <v>2</v>
      </c>
      <c r="L1178" s="7" t="s">
        <v>52</v>
      </c>
      <c r="M1178" s="7">
        <f t="shared" si="89"/>
        <v>1</v>
      </c>
      <c r="N1178" s="9" t="s">
        <v>36</v>
      </c>
      <c r="O1178" s="7">
        <v>0</v>
      </c>
      <c r="P1178" s="9" t="s">
        <v>33</v>
      </c>
      <c r="Q1178" s="7" t="s">
        <v>38</v>
      </c>
      <c r="R1178" s="7" t="s">
        <v>38</v>
      </c>
      <c r="S1178" s="10" t="s">
        <v>1718</v>
      </c>
      <c r="T1178" s="7"/>
      <c r="U1178" s="7"/>
      <c r="V1178" s="7"/>
      <c r="W1178" s="7"/>
      <c r="X1178" s="7">
        <v>3</v>
      </c>
      <c r="Y1178" s="7"/>
      <c r="Z1178" s="7"/>
      <c r="AA1178" s="7"/>
      <c r="AB1178" s="7">
        <f t="shared" si="92"/>
        <v>1</v>
      </c>
      <c r="AC1178" s="7">
        <f t="shared" si="90"/>
        <v>1</v>
      </c>
      <c r="AD1178" s="7"/>
      <c r="AE1178" s="7"/>
      <c r="AF1178" s="7"/>
      <c r="AG1178" s="7"/>
      <c r="AH1178" s="7"/>
      <c r="AI1178" s="7"/>
      <c r="AJ1178" s="7"/>
      <c r="AK1178" s="7"/>
      <c r="AL1178" s="9"/>
      <c r="AM1178" s="7" t="s">
        <v>71</v>
      </c>
      <c r="AN1178" s="7" t="s">
        <v>71</v>
      </c>
      <c r="AO1178" s="12"/>
    </row>
    <row r="1179" spans="1:41" s="11" customFormat="1" x14ac:dyDescent="0.25">
      <c r="A1179" s="2">
        <v>1178</v>
      </c>
      <c r="B1179" s="7" t="s">
        <v>1019</v>
      </c>
      <c r="C1179" s="7" t="s">
        <v>100</v>
      </c>
      <c r="D1179" s="7">
        <v>37</v>
      </c>
      <c r="E1179" s="7">
        <v>37</v>
      </c>
      <c r="F1179" s="8">
        <v>1</v>
      </c>
      <c r="G1179" s="8">
        <v>1</v>
      </c>
      <c r="H1179" s="7">
        <v>1</v>
      </c>
      <c r="I1179" s="7">
        <v>1</v>
      </c>
      <c r="J1179" s="9" t="s">
        <v>35</v>
      </c>
      <c r="K1179" s="7">
        <v>2</v>
      </c>
      <c r="L1179" s="7" t="s">
        <v>52</v>
      </c>
      <c r="M1179" s="7">
        <f t="shared" si="89"/>
        <v>1</v>
      </c>
      <c r="N1179" s="9"/>
      <c r="O1179" s="7"/>
      <c r="P1179" s="9"/>
      <c r="Q1179" s="7" t="s">
        <v>52</v>
      </c>
      <c r="R1179" s="7" t="s">
        <v>38</v>
      </c>
      <c r="S1179" s="7"/>
      <c r="T1179" s="7"/>
      <c r="U1179" s="7"/>
      <c r="V1179" s="7"/>
      <c r="W1179" s="7"/>
      <c r="X1179" s="7">
        <v>3</v>
      </c>
      <c r="Y1179" s="7"/>
      <c r="Z1179" s="7"/>
      <c r="AA1179" s="7"/>
      <c r="AB1179" s="7">
        <f t="shared" si="92"/>
        <v>1</v>
      </c>
      <c r="AC1179" s="7">
        <f t="shared" si="90"/>
        <v>1</v>
      </c>
      <c r="AD1179" s="7"/>
      <c r="AE1179" s="7"/>
      <c r="AF1179" s="7"/>
      <c r="AG1179" s="7"/>
      <c r="AH1179" s="7"/>
      <c r="AI1179" s="7"/>
      <c r="AJ1179" s="7"/>
      <c r="AK1179" s="7"/>
      <c r="AL1179" s="9"/>
      <c r="AM1179" s="7" t="s">
        <v>71</v>
      </c>
      <c r="AN1179" s="7" t="s">
        <v>71</v>
      </c>
      <c r="AO1179" s="15" t="s">
        <v>2639</v>
      </c>
    </row>
    <row r="1180" spans="1:41" s="11" customFormat="1" x14ac:dyDescent="0.25">
      <c r="A1180" s="2">
        <v>1179</v>
      </c>
      <c r="B1180" s="7" t="s">
        <v>1020</v>
      </c>
      <c r="C1180" s="7" t="s">
        <v>100</v>
      </c>
      <c r="D1180" s="7">
        <v>9</v>
      </c>
      <c r="E1180" s="7">
        <v>9</v>
      </c>
      <c r="F1180" s="8">
        <v>1</v>
      </c>
      <c r="G1180" s="8">
        <v>1</v>
      </c>
      <c r="H1180" s="7">
        <v>1</v>
      </c>
      <c r="I1180" s="7">
        <v>1</v>
      </c>
      <c r="J1180" s="9" t="s">
        <v>639</v>
      </c>
      <c r="K1180" s="7"/>
      <c r="L1180" s="7" t="s">
        <v>38</v>
      </c>
      <c r="M1180" s="7">
        <f t="shared" si="89"/>
        <v>0</v>
      </c>
      <c r="N1180" s="9"/>
      <c r="O1180" s="7"/>
      <c r="P1180" s="9"/>
      <c r="Q1180" s="7"/>
      <c r="R1180" s="7"/>
      <c r="S1180" s="7"/>
      <c r="T1180" s="7"/>
      <c r="U1180" s="7"/>
      <c r="V1180" s="7"/>
      <c r="W1180" s="7"/>
      <c r="X1180" s="7">
        <v>3</v>
      </c>
      <c r="Y1180" s="7"/>
      <c r="Z1180" s="7"/>
      <c r="AA1180" s="7"/>
      <c r="AB1180" s="7">
        <f t="shared" si="92"/>
        <v>1</v>
      </c>
      <c r="AC1180" s="7">
        <f t="shared" si="90"/>
        <v>0</v>
      </c>
      <c r="AD1180" s="7"/>
      <c r="AE1180" s="7"/>
      <c r="AF1180" s="7"/>
      <c r="AG1180" s="7"/>
      <c r="AH1180" s="7"/>
      <c r="AI1180" s="7"/>
      <c r="AJ1180" s="7"/>
      <c r="AK1180" s="7"/>
      <c r="AL1180" s="9"/>
      <c r="AM1180" s="7" t="s">
        <v>71</v>
      </c>
      <c r="AN1180" s="7" t="s">
        <v>71</v>
      </c>
      <c r="AO1180" s="12"/>
    </row>
    <row r="1181" spans="1:41" s="11" customFormat="1" x14ac:dyDescent="0.25">
      <c r="A1181" s="2">
        <v>1180</v>
      </c>
      <c r="B1181" s="7" t="s">
        <v>1021</v>
      </c>
      <c r="C1181" s="7" t="s">
        <v>100</v>
      </c>
      <c r="D1181" s="7">
        <v>40</v>
      </c>
      <c r="E1181" s="7">
        <v>40</v>
      </c>
      <c r="F1181" s="8">
        <v>1</v>
      </c>
      <c r="G1181" s="8">
        <v>1</v>
      </c>
      <c r="H1181" s="8">
        <v>1</v>
      </c>
      <c r="I1181" s="8">
        <v>1</v>
      </c>
      <c r="J1181" s="9" t="s">
        <v>35</v>
      </c>
      <c r="K1181" s="7">
        <v>2</v>
      </c>
      <c r="L1181" s="7" t="s">
        <v>52</v>
      </c>
      <c r="M1181" s="7">
        <f t="shared" si="89"/>
        <v>1</v>
      </c>
      <c r="N1181" s="9"/>
      <c r="O1181" s="7"/>
      <c r="P1181" s="9"/>
      <c r="Q1181" s="7" t="s">
        <v>52</v>
      </c>
      <c r="R1181" s="7" t="s">
        <v>38</v>
      </c>
      <c r="S1181" s="7"/>
      <c r="T1181" s="7"/>
      <c r="U1181" s="7"/>
      <c r="V1181" s="7"/>
      <c r="W1181" s="7"/>
      <c r="X1181" s="7">
        <v>3</v>
      </c>
      <c r="Y1181" s="7"/>
      <c r="Z1181" s="7"/>
      <c r="AA1181" s="7"/>
      <c r="AB1181" s="7">
        <f t="shared" si="92"/>
        <v>1</v>
      </c>
      <c r="AC1181" s="7">
        <f t="shared" si="90"/>
        <v>1</v>
      </c>
      <c r="AD1181" s="7"/>
      <c r="AE1181" s="7"/>
      <c r="AF1181" s="7"/>
      <c r="AG1181" s="7"/>
      <c r="AH1181" s="7"/>
      <c r="AI1181" s="7"/>
      <c r="AJ1181" s="7"/>
      <c r="AK1181" s="7"/>
      <c r="AL1181" s="9"/>
      <c r="AM1181" s="7" t="s">
        <v>71</v>
      </c>
      <c r="AN1181" s="7" t="s">
        <v>71</v>
      </c>
      <c r="AO1181" s="15" t="s">
        <v>2631</v>
      </c>
    </row>
    <row r="1182" spans="1:41" s="11" customFormat="1" x14ac:dyDescent="0.25">
      <c r="A1182" s="2">
        <v>1181</v>
      </c>
      <c r="B1182" s="7" t="s">
        <v>1021</v>
      </c>
      <c r="C1182" s="7" t="s">
        <v>100</v>
      </c>
      <c r="D1182" s="7">
        <v>4</v>
      </c>
      <c r="E1182" s="7">
        <v>4</v>
      </c>
      <c r="F1182" s="8">
        <v>1</v>
      </c>
      <c r="G1182" s="8">
        <v>1</v>
      </c>
      <c r="H1182" s="7">
        <v>1</v>
      </c>
      <c r="I1182" s="7">
        <v>1</v>
      </c>
      <c r="J1182" s="9" t="s">
        <v>35</v>
      </c>
      <c r="K1182" s="7">
        <v>1</v>
      </c>
      <c r="L1182" s="7" t="s">
        <v>52</v>
      </c>
      <c r="M1182" s="7">
        <f t="shared" si="89"/>
        <v>1</v>
      </c>
      <c r="N1182" s="9"/>
      <c r="O1182" s="7"/>
      <c r="P1182" s="9"/>
      <c r="Q1182" s="7" t="s">
        <v>38</v>
      </c>
      <c r="R1182" s="7" t="s">
        <v>38</v>
      </c>
      <c r="S1182" s="7"/>
      <c r="T1182" s="7"/>
      <c r="U1182" s="7"/>
      <c r="V1182" s="7"/>
      <c r="W1182" s="7"/>
      <c r="X1182" s="7">
        <v>3</v>
      </c>
      <c r="Y1182" s="7"/>
      <c r="Z1182" s="7"/>
      <c r="AA1182" s="7"/>
      <c r="AB1182" s="7">
        <f t="shared" si="92"/>
        <v>1</v>
      </c>
      <c r="AC1182" s="7">
        <f t="shared" si="90"/>
        <v>1</v>
      </c>
      <c r="AD1182" s="7"/>
      <c r="AE1182" s="7"/>
      <c r="AF1182" s="7"/>
      <c r="AG1182" s="7"/>
      <c r="AH1182" s="7"/>
      <c r="AI1182" s="7"/>
      <c r="AJ1182" s="7"/>
      <c r="AK1182" s="7"/>
      <c r="AL1182" s="9"/>
      <c r="AM1182" s="7" t="s">
        <v>71</v>
      </c>
      <c r="AN1182" s="7" t="s">
        <v>71</v>
      </c>
      <c r="AO1182" s="12"/>
    </row>
    <row r="1183" spans="1:41" s="11" customFormat="1" ht="24" x14ac:dyDescent="0.25">
      <c r="A1183" s="2">
        <v>1182</v>
      </c>
      <c r="B1183" s="7" t="s">
        <v>1021</v>
      </c>
      <c r="C1183" s="7" t="s">
        <v>50</v>
      </c>
      <c r="D1183" s="7">
        <v>18</v>
      </c>
      <c r="E1183" s="7">
        <v>18</v>
      </c>
      <c r="F1183" s="8">
        <v>1</v>
      </c>
      <c r="G1183" s="8">
        <v>1</v>
      </c>
      <c r="H1183" s="7">
        <v>1</v>
      </c>
      <c r="I1183" s="7">
        <v>1</v>
      </c>
      <c r="J1183" s="9" t="s">
        <v>860</v>
      </c>
      <c r="K1183" s="7">
        <v>2</v>
      </c>
      <c r="L1183" s="7" t="s">
        <v>52</v>
      </c>
      <c r="M1183" s="7">
        <f t="shared" si="89"/>
        <v>1</v>
      </c>
      <c r="N1183" s="9" t="s">
        <v>37</v>
      </c>
      <c r="O1183" s="7">
        <v>0</v>
      </c>
      <c r="P1183" s="9" t="s">
        <v>33</v>
      </c>
      <c r="Q1183" s="7" t="s">
        <v>38</v>
      </c>
      <c r="R1183" s="7" t="s">
        <v>52</v>
      </c>
      <c r="S1183" s="10" t="s">
        <v>2077</v>
      </c>
      <c r="T1183" s="7"/>
      <c r="U1183" s="7"/>
      <c r="V1183" s="7"/>
      <c r="W1183" s="7"/>
      <c r="X1183" s="7"/>
      <c r="Y1183" s="7">
        <v>30</v>
      </c>
      <c r="Z1183" s="7">
        <v>30</v>
      </c>
      <c r="AA1183" s="7">
        <v>55</v>
      </c>
      <c r="AB1183" s="7">
        <f t="shared" si="92"/>
        <v>10</v>
      </c>
      <c r="AC1183" s="7">
        <f t="shared" si="90"/>
        <v>10</v>
      </c>
      <c r="AD1183" s="7"/>
      <c r="AE1183" s="7"/>
      <c r="AF1183" s="7"/>
      <c r="AG1183" s="7"/>
      <c r="AH1183" s="7"/>
      <c r="AI1183" s="10" t="s">
        <v>2315</v>
      </c>
      <c r="AJ1183" s="7"/>
      <c r="AK1183" s="7"/>
      <c r="AL1183" s="9"/>
      <c r="AM1183" s="7" t="s">
        <v>42</v>
      </c>
      <c r="AN1183" s="7" t="s">
        <v>42</v>
      </c>
      <c r="AO1183" s="12"/>
    </row>
    <row r="1184" spans="1:41" s="11" customFormat="1" ht="24" x14ac:dyDescent="0.25">
      <c r="A1184" s="2">
        <v>1183</v>
      </c>
      <c r="B1184" s="7" t="s">
        <v>1022</v>
      </c>
      <c r="C1184" s="7" t="s">
        <v>269</v>
      </c>
      <c r="D1184" s="7" t="s">
        <v>1023</v>
      </c>
      <c r="E1184" s="7">
        <v>34</v>
      </c>
      <c r="F1184" s="8">
        <v>1</v>
      </c>
      <c r="G1184" s="8">
        <v>2</v>
      </c>
      <c r="H1184" s="7">
        <v>2</v>
      </c>
      <c r="I1184" s="7">
        <v>2</v>
      </c>
      <c r="J1184" s="9" t="s">
        <v>35</v>
      </c>
      <c r="K1184" s="7">
        <v>2</v>
      </c>
      <c r="L1184" s="7" t="s">
        <v>52</v>
      </c>
      <c r="M1184" s="7">
        <f t="shared" si="89"/>
        <v>1</v>
      </c>
      <c r="N1184" s="9" t="s">
        <v>37</v>
      </c>
      <c r="O1184" s="7">
        <v>0</v>
      </c>
      <c r="P1184" s="9" t="s">
        <v>33</v>
      </c>
      <c r="Q1184" s="7" t="s">
        <v>38</v>
      </c>
      <c r="R1184" s="7" t="s">
        <v>38</v>
      </c>
      <c r="S1184" s="10" t="s">
        <v>1927</v>
      </c>
      <c r="T1184" s="7" t="s">
        <v>92</v>
      </c>
      <c r="U1184" s="7">
        <v>3</v>
      </c>
      <c r="V1184" s="7" t="s">
        <v>199</v>
      </c>
      <c r="W1184" s="7" t="s">
        <v>83</v>
      </c>
      <c r="X1184" s="7">
        <v>3</v>
      </c>
      <c r="Y1184" s="7"/>
      <c r="Z1184" s="7"/>
      <c r="AA1184" s="7"/>
      <c r="AB1184" s="7">
        <f t="shared" si="92"/>
        <v>2</v>
      </c>
      <c r="AC1184" s="7">
        <f t="shared" si="90"/>
        <v>2</v>
      </c>
      <c r="AD1184" s="7"/>
      <c r="AE1184" s="7">
        <v>1</v>
      </c>
      <c r="AF1184" s="7" t="s">
        <v>40</v>
      </c>
      <c r="AG1184" s="7"/>
      <c r="AH1184" s="7"/>
      <c r="AI1184" s="7"/>
      <c r="AJ1184" s="7"/>
      <c r="AK1184" s="10" t="s">
        <v>2473</v>
      </c>
      <c r="AL1184" s="9"/>
      <c r="AM1184" s="7" t="s">
        <v>42</v>
      </c>
      <c r="AN1184" s="7" t="s">
        <v>42</v>
      </c>
      <c r="AO1184" s="15" t="s">
        <v>2640</v>
      </c>
    </row>
    <row r="1185" spans="1:41" s="11" customFormat="1" x14ac:dyDescent="0.25">
      <c r="A1185" s="2">
        <v>1184</v>
      </c>
      <c r="B1185" s="7" t="s">
        <v>1022</v>
      </c>
      <c r="C1185" s="7" t="s">
        <v>104</v>
      </c>
      <c r="D1185" s="7">
        <v>9</v>
      </c>
      <c r="E1185" s="7">
        <v>9</v>
      </c>
      <c r="F1185" s="8">
        <v>1</v>
      </c>
      <c r="G1185" s="8">
        <v>1</v>
      </c>
      <c r="H1185" s="7">
        <v>1</v>
      </c>
      <c r="I1185" s="7">
        <v>1</v>
      </c>
      <c r="J1185" s="9" t="s">
        <v>35</v>
      </c>
      <c r="K1185" s="7">
        <v>2</v>
      </c>
      <c r="L1185" s="7" t="s">
        <v>52</v>
      </c>
      <c r="M1185" s="7">
        <f t="shared" si="89"/>
        <v>1</v>
      </c>
      <c r="N1185" s="9" t="s">
        <v>34</v>
      </c>
      <c r="O1185" s="7">
        <v>0</v>
      </c>
      <c r="P1185" s="9" t="s">
        <v>33</v>
      </c>
      <c r="Q1185" s="7" t="s">
        <v>38</v>
      </c>
      <c r="R1185" s="7" t="s">
        <v>38</v>
      </c>
      <c r="S1185" s="10" t="s">
        <v>2078</v>
      </c>
      <c r="T1185" s="7"/>
      <c r="U1185" s="7"/>
      <c r="V1185" s="7"/>
      <c r="W1185" s="7"/>
      <c r="X1185" s="7">
        <v>3</v>
      </c>
      <c r="Y1185" s="7"/>
      <c r="Z1185" s="7"/>
      <c r="AA1185" s="7"/>
      <c r="AB1185" s="7">
        <f t="shared" si="92"/>
        <v>1</v>
      </c>
      <c r="AC1185" s="7">
        <f t="shared" si="90"/>
        <v>1</v>
      </c>
      <c r="AD1185" s="7"/>
      <c r="AE1185" s="7">
        <v>1</v>
      </c>
      <c r="AF1185" s="7" t="s">
        <v>40</v>
      </c>
      <c r="AG1185" s="7" t="s">
        <v>1024</v>
      </c>
      <c r="AH1185" s="7" t="s">
        <v>38</v>
      </c>
      <c r="AI1185" s="7"/>
      <c r="AJ1185" s="7"/>
      <c r="AK1185" s="7"/>
      <c r="AL1185" s="9"/>
      <c r="AM1185" s="7" t="s">
        <v>71</v>
      </c>
      <c r="AN1185" s="7" t="s">
        <v>71</v>
      </c>
      <c r="AO1185" s="12"/>
    </row>
    <row r="1186" spans="1:41" s="11" customFormat="1" x14ac:dyDescent="0.25">
      <c r="A1186" s="2">
        <v>1185</v>
      </c>
      <c r="B1186" s="7" t="s">
        <v>1022</v>
      </c>
      <c r="C1186" s="7" t="s">
        <v>104</v>
      </c>
      <c r="D1186" s="7">
        <v>9</v>
      </c>
      <c r="E1186" s="7">
        <v>9</v>
      </c>
      <c r="F1186" s="8">
        <v>1</v>
      </c>
      <c r="G1186" s="8">
        <v>1</v>
      </c>
      <c r="H1186" s="7">
        <v>1</v>
      </c>
      <c r="I1186" s="7">
        <v>1</v>
      </c>
      <c r="J1186" s="9" t="s">
        <v>70</v>
      </c>
      <c r="K1186" s="7">
        <v>1</v>
      </c>
      <c r="L1186" s="7" t="s">
        <v>52</v>
      </c>
      <c r="M1186" s="7">
        <f t="shared" si="89"/>
        <v>1</v>
      </c>
      <c r="N1186" s="9" t="s">
        <v>36</v>
      </c>
      <c r="O1186" s="7">
        <v>0</v>
      </c>
      <c r="P1186" s="9" t="s">
        <v>34</v>
      </c>
      <c r="Q1186" s="7" t="s">
        <v>38</v>
      </c>
      <c r="R1186" s="7" t="s">
        <v>38</v>
      </c>
      <c r="S1186" s="13" t="s">
        <v>2036</v>
      </c>
      <c r="T1186" s="7"/>
      <c r="U1186" s="7"/>
      <c r="V1186" s="7"/>
      <c r="W1186" s="7"/>
      <c r="X1186" s="7">
        <v>3</v>
      </c>
      <c r="Y1186" s="7"/>
      <c r="Z1186" s="7"/>
      <c r="AA1186" s="7"/>
      <c r="AB1186" s="7">
        <f t="shared" si="92"/>
        <v>1</v>
      </c>
      <c r="AC1186" s="7">
        <f t="shared" si="90"/>
        <v>1</v>
      </c>
      <c r="AD1186" s="7"/>
      <c r="AE1186" s="7">
        <v>1</v>
      </c>
      <c r="AF1186" s="7" t="s">
        <v>40</v>
      </c>
      <c r="AG1186" s="7" t="s">
        <v>1025</v>
      </c>
      <c r="AH1186" s="7"/>
      <c r="AI1186" s="7"/>
      <c r="AJ1186" s="7"/>
      <c r="AK1186" s="7"/>
      <c r="AL1186" s="9"/>
      <c r="AM1186" s="7" t="s">
        <v>71</v>
      </c>
      <c r="AN1186" s="7" t="s">
        <v>71</v>
      </c>
      <c r="AO1186" s="12"/>
    </row>
    <row r="1187" spans="1:41" s="11" customFormat="1" x14ac:dyDescent="0.25">
      <c r="A1187" s="2">
        <v>1186</v>
      </c>
      <c r="B1187" s="7" t="s">
        <v>1022</v>
      </c>
      <c r="C1187" s="7" t="s">
        <v>104</v>
      </c>
      <c r="D1187" s="7">
        <v>4</v>
      </c>
      <c r="E1187" s="7">
        <v>4</v>
      </c>
      <c r="F1187" s="8">
        <v>1</v>
      </c>
      <c r="G1187" s="8">
        <v>1</v>
      </c>
      <c r="H1187" s="7">
        <v>1</v>
      </c>
      <c r="I1187" s="7">
        <v>1</v>
      </c>
      <c r="J1187" s="9" t="s">
        <v>70</v>
      </c>
      <c r="K1187" s="7">
        <v>2</v>
      </c>
      <c r="L1187" s="7" t="s">
        <v>52</v>
      </c>
      <c r="M1187" s="7">
        <f t="shared" si="89"/>
        <v>1</v>
      </c>
      <c r="N1187" s="9" t="s">
        <v>34</v>
      </c>
      <c r="O1187" s="7">
        <v>0</v>
      </c>
      <c r="P1187" s="9" t="s">
        <v>37</v>
      </c>
      <c r="Q1187" s="7" t="s">
        <v>38</v>
      </c>
      <c r="R1187" s="7" t="s">
        <v>38</v>
      </c>
      <c r="S1187" s="7"/>
      <c r="T1187" s="7"/>
      <c r="U1187" s="7"/>
      <c r="V1187" s="7"/>
      <c r="W1187" s="7"/>
      <c r="X1187" s="7">
        <v>3</v>
      </c>
      <c r="Y1187" s="7"/>
      <c r="Z1187" s="7"/>
      <c r="AA1187" s="7"/>
      <c r="AB1187" s="7">
        <f t="shared" si="92"/>
        <v>1</v>
      </c>
      <c r="AC1187" s="7">
        <f t="shared" si="90"/>
        <v>1</v>
      </c>
      <c r="AD1187" s="7"/>
      <c r="AE1187" s="7">
        <v>1</v>
      </c>
      <c r="AF1187" s="7" t="s">
        <v>40</v>
      </c>
      <c r="AG1187" s="7" t="s">
        <v>534</v>
      </c>
      <c r="AH1187" s="7"/>
      <c r="AI1187" s="7"/>
      <c r="AJ1187" s="7"/>
      <c r="AK1187" s="7"/>
      <c r="AL1187" s="9"/>
      <c r="AM1187" s="7" t="s">
        <v>71</v>
      </c>
      <c r="AN1187" s="7" t="s">
        <v>71</v>
      </c>
      <c r="AO1187" s="12"/>
    </row>
    <row r="1188" spans="1:41" s="11" customFormat="1" x14ac:dyDescent="0.25">
      <c r="A1188" s="2">
        <v>1187</v>
      </c>
      <c r="B1188" s="7" t="s">
        <v>1026</v>
      </c>
      <c r="C1188" s="7" t="s">
        <v>50</v>
      </c>
      <c r="D1188" s="7">
        <v>52</v>
      </c>
      <c r="E1188" s="7">
        <v>52</v>
      </c>
      <c r="F1188" s="8">
        <v>1</v>
      </c>
      <c r="G1188" s="8">
        <v>1</v>
      </c>
      <c r="H1188" s="7">
        <v>1</v>
      </c>
      <c r="I1188" s="7">
        <v>1</v>
      </c>
      <c r="J1188" s="9" t="s">
        <v>35</v>
      </c>
      <c r="K1188" s="7">
        <v>2</v>
      </c>
      <c r="L1188" s="7" t="s">
        <v>52</v>
      </c>
      <c r="M1188" s="7">
        <f t="shared" si="89"/>
        <v>1</v>
      </c>
      <c r="N1188" s="9" t="s">
        <v>34</v>
      </c>
      <c r="O1188" s="7">
        <v>0</v>
      </c>
      <c r="P1188" s="9" t="s">
        <v>34</v>
      </c>
      <c r="Q1188" s="7" t="s">
        <v>38</v>
      </c>
      <c r="R1188" s="7" t="s">
        <v>38</v>
      </c>
      <c r="S1188" s="10" t="s">
        <v>2079</v>
      </c>
      <c r="T1188" s="7"/>
      <c r="U1188" s="7"/>
      <c r="V1188" s="7"/>
      <c r="W1188" s="7"/>
      <c r="X1188" s="7"/>
      <c r="Y1188" s="7">
        <v>37</v>
      </c>
      <c r="Z1188" s="7">
        <v>37</v>
      </c>
      <c r="AA1188" s="7">
        <v>75</v>
      </c>
      <c r="AB1188" s="7">
        <f t="shared" si="92"/>
        <v>12.333333333333334</v>
      </c>
      <c r="AC1188" s="7">
        <f t="shared" si="90"/>
        <v>12.333333333333334</v>
      </c>
      <c r="AD1188" s="7"/>
      <c r="AE1188" s="7"/>
      <c r="AF1188" s="7"/>
      <c r="AG1188" s="7"/>
      <c r="AH1188" s="7"/>
      <c r="AI1188" s="7"/>
      <c r="AJ1188" s="7"/>
      <c r="AK1188" s="7"/>
      <c r="AL1188" s="9"/>
      <c r="AM1188" s="7" t="s">
        <v>42</v>
      </c>
      <c r="AN1188" s="7" t="s">
        <v>42</v>
      </c>
      <c r="AO1188" s="12"/>
    </row>
    <row r="1189" spans="1:41" s="11" customFormat="1" ht="36" x14ac:dyDescent="0.25">
      <c r="A1189" s="2">
        <v>1188</v>
      </c>
      <c r="B1189" s="7" t="s">
        <v>722</v>
      </c>
      <c r="C1189" s="7" t="s">
        <v>44</v>
      </c>
      <c r="D1189" s="7" t="s">
        <v>1027</v>
      </c>
      <c r="E1189" s="7">
        <f>118+44+40+19+28+9</f>
        <v>258</v>
      </c>
      <c r="F1189" s="8">
        <v>1</v>
      </c>
      <c r="G1189" s="8">
        <v>14</v>
      </c>
      <c r="H1189" s="7">
        <v>14</v>
      </c>
      <c r="I1189" s="7">
        <v>14</v>
      </c>
      <c r="J1189" s="7" t="s">
        <v>1489</v>
      </c>
      <c r="K1189" s="7">
        <v>2</v>
      </c>
      <c r="L1189" s="7" t="s">
        <v>52</v>
      </c>
      <c r="M1189" s="7">
        <f t="shared" si="89"/>
        <v>1</v>
      </c>
      <c r="N1189" s="9" t="s">
        <v>34</v>
      </c>
      <c r="O1189" s="7">
        <v>1</v>
      </c>
      <c r="P1189" s="9" t="s">
        <v>37</v>
      </c>
      <c r="Q1189" s="7" t="s">
        <v>38</v>
      </c>
      <c r="R1189" s="7" t="s">
        <v>38</v>
      </c>
      <c r="S1189" s="10" t="s">
        <v>2080</v>
      </c>
      <c r="T1189" s="7"/>
      <c r="U1189" s="7"/>
      <c r="V1189" s="7"/>
      <c r="W1189" s="7"/>
      <c r="X1189" s="7">
        <v>50</v>
      </c>
      <c r="Y1189" s="7">
        <v>100</v>
      </c>
      <c r="Z1189" s="7">
        <v>100</v>
      </c>
      <c r="AA1189" s="7">
        <v>65</v>
      </c>
      <c r="AB1189" s="7">
        <f t="shared" si="92"/>
        <v>50</v>
      </c>
      <c r="AC1189" s="7">
        <f t="shared" si="90"/>
        <v>50</v>
      </c>
      <c r="AD1189" s="7">
        <v>1</v>
      </c>
      <c r="AE1189" s="7">
        <v>2</v>
      </c>
      <c r="AF1189" s="7" t="s">
        <v>40</v>
      </c>
      <c r="AG1189" s="7" t="s">
        <v>1028</v>
      </c>
      <c r="AH1189" s="7" t="s">
        <v>38</v>
      </c>
      <c r="AI1189" s="7"/>
      <c r="AJ1189" s="7"/>
      <c r="AK1189" s="10" t="s">
        <v>2474</v>
      </c>
      <c r="AL1189" s="9" t="s">
        <v>38</v>
      </c>
      <c r="AM1189" s="7" t="s">
        <v>42</v>
      </c>
      <c r="AN1189" s="7" t="s">
        <v>42</v>
      </c>
      <c r="AO1189" s="12"/>
    </row>
    <row r="1190" spans="1:41" s="11" customFormat="1" ht="36" x14ac:dyDescent="0.25">
      <c r="A1190" s="2">
        <v>1189</v>
      </c>
      <c r="B1190" s="7" t="s">
        <v>722</v>
      </c>
      <c r="C1190" s="7" t="s">
        <v>32</v>
      </c>
      <c r="D1190" s="7" t="s">
        <v>1029</v>
      </c>
      <c r="E1190" s="7">
        <v>164</v>
      </c>
      <c r="F1190" s="8">
        <v>1</v>
      </c>
      <c r="G1190" s="8">
        <v>5</v>
      </c>
      <c r="H1190" s="7">
        <v>5</v>
      </c>
      <c r="I1190" s="7">
        <v>5</v>
      </c>
      <c r="J1190" s="7" t="s">
        <v>1489</v>
      </c>
      <c r="K1190" s="7">
        <v>2</v>
      </c>
      <c r="L1190" s="7" t="s">
        <v>52</v>
      </c>
      <c r="M1190" s="7">
        <f t="shared" si="89"/>
        <v>1</v>
      </c>
      <c r="N1190" s="9" t="s">
        <v>34</v>
      </c>
      <c r="O1190" s="7">
        <v>0</v>
      </c>
      <c r="P1190" s="9" t="s">
        <v>33</v>
      </c>
      <c r="Q1190" s="7" t="s">
        <v>38</v>
      </c>
      <c r="R1190" s="7" t="s">
        <v>38</v>
      </c>
      <c r="S1190" s="10" t="s">
        <v>2081</v>
      </c>
      <c r="T1190" s="7"/>
      <c r="U1190" s="7"/>
      <c r="V1190" s="7"/>
      <c r="W1190" s="7"/>
      <c r="X1190" s="7">
        <v>15</v>
      </c>
      <c r="Y1190" s="7">
        <v>100</v>
      </c>
      <c r="Z1190" s="7">
        <v>100</v>
      </c>
      <c r="AA1190" s="7">
        <v>66</v>
      </c>
      <c r="AB1190" s="7">
        <f t="shared" si="92"/>
        <v>38.333333333333336</v>
      </c>
      <c r="AC1190" s="7">
        <f t="shared" si="90"/>
        <v>38.333333333333336</v>
      </c>
      <c r="AD1190" s="7"/>
      <c r="AE1190" s="7">
        <v>2</v>
      </c>
      <c r="AF1190" s="7" t="s">
        <v>40</v>
      </c>
      <c r="AG1190" s="7" t="s">
        <v>1030</v>
      </c>
      <c r="AH1190" s="7"/>
      <c r="AI1190" s="7"/>
      <c r="AJ1190" s="10" t="s">
        <v>2392</v>
      </c>
      <c r="AK1190" s="7"/>
      <c r="AL1190" s="9"/>
      <c r="AM1190" s="7" t="s">
        <v>42</v>
      </c>
      <c r="AN1190" s="7" t="s">
        <v>42</v>
      </c>
      <c r="AO1190" s="12"/>
    </row>
    <row r="1191" spans="1:41" s="11" customFormat="1" ht="24" x14ac:dyDescent="0.25">
      <c r="A1191" s="2">
        <v>1190</v>
      </c>
      <c r="B1191" s="7" t="s">
        <v>722</v>
      </c>
      <c r="C1191" s="7" t="s">
        <v>32</v>
      </c>
      <c r="D1191" s="7">
        <v>153</v>
      </c>
      <c r="E1191" s="7">
        <v>153</v>
      </c>
      <c r="F1191" s="8">
        <v>1</v>
      </c>
      <c r="G1191" s="8">
        <v>3</v>
      </c>
      <c r="H1191" s="7">
        <v>3</v>
      </c>
      <c r="I1191" s="7">
        <v>3</v>
      </c>
      <c r="J1191" s="9" t="s">
        <v>35</v>
      </c>
      <c r="K1191" s="7">
        <v>1</v>
      </c>
      <c r="L1191" s="7" t="s">
        <v>52</v>
      </c>
      <c r="M1191" s="7">
        <f t="shared" si="89"/>
        <v>1</v>
      </c>
      <c r="N1191" s="9" t="s">
        <v>34</v>
      </c>
      <c r="O1191" s="7">
        <v>0</v>
      </c>
      <c r="P1191" s="9" t="s">
        <v>63</v>
      </c>
      <c r="Q1191" s="7" t="s">
        <v>38</v>
      </c>
      <c r="R1191" s="7" t="s">
        <v>38</v>
      </c>
      <c r="S1191" s="10" t="s">
        <v>2082</v>
      </c>
      <c r="T1191" s="7"/>
      <c r="U1191" s="7"/>
      <c r="V1191" s="7"/>
      <c r="W1191" s="7"/>
      <c r="X1191" s="7">
        <v>20</v>
      </c>
      <c r="Y1191" s="7">
        <v>100</v>
      </c>
      <c r="Z1191" s="7">
        <v>100</v>
      </c>
      <c r="AA1191" s="7">
        <v>62</v>
      </c>
      <c r="AB1191" s="7">
        <f t="shared" si="92"/>
        <v>40</v>
      </c>
      <c r="AC1191" s="7">
        <f t="shared" si="90"/>
        <v>40</v>
      </c>
      <c r="AD1191" s="7"/>
      <c r="AE1191" s="7">
        <v>2</v>
      </c>
      <c r="AF1191" s="7" t="s">
        <v>40</v>
      </c>
      <c r="AG1191" s="7" t="s">
        <v>1031</v>
      </c>
      <c r="AH1191" s="7"/>
      <c r="AI1191" s="7"/>
      <c r="AJ1191" s="7"/>
      <c r="AK1191" s="7"/>
      <c r="AL1191" s="9"/>
      <c r="AM1191" s="7" t="s">
        <v>42</v>
      </c>
      <c r="AN1191" s="7" t="s">
        <v>42</v>
      </c>
      <c r="AO1191" s="15" t="s">
        <v>2641</v>
      </c>
    </row>
    <row r="1192" spans="1:41" s="11" customFormat="1" ht="24" x14ac:dyDescent="0.25">
      <c r="A1192" s="2">
        <v>1191</v>
      </c>
      <c r="B1192" s="7" t="s">
        <v>722</v>
      </c>
      <c r="C1192" s="7" t="s">
        <v>237</v>
      </c>
      <c r="D1192" s="7" t="s">
        <v>1032</v>
      </c>
      <c r="E1192" s="7">
        <f>56+26+14+20+9+14+6</f>
        <v>145</v>
      </c>
      <c r="F1192" s="8">
        <v>1</v>
      </c>
      <c r="G1192" s="8">
        <v>10</v>
      </c>
      <c r="H1192" s="7" t="s">
        <v>1033</v>
      </c>
      <c r="I1192" s="7">
        <v>10</v>
      </c>
      <c r="J1192" s="9" t="s">
        <v>35</v>
      </c>
      <c r="K1192" s="7">
        <v>1</v>
      </c>
      <c r="L1192" s="7" t="s">
        <v>52</v>
      </c>
      <c r="M1192" s="7">
        <f t="shared" si="89"/>
        <v>1</v>
      </c>
      <c r="N1192" s="9" t="s">
        <v>34</v>
      </c>
      <c r="O1192" s="7">
        <v>3</v>
      </c>
      <c r="P1192" s="9" t="s">
        <v>33</v>
      </c>
      <c r="Q1192" s="7" t="s">
        <v>38</v>
      </c>
      <c r="R1192" s="7" t="s">
        <v>38</v>
      </c>
      <c r="S1192" s="7"/>
      <c r="T1192" s="7" t="s">
        <v>1034</v>
      </c>
      <c r="U1192" s="7">
        <v>65</v>
      </c>
      <c r="V1192" s="7">
        <v>180</v>
      </c>
      <c r="W1192" s="7" t="s">
        <v>1035</v>
      </c>
      <c r="X1192" s="7">
        <v>3</v>
      </c>
      <c r="Y1192" s="7"/>
      <c r="Z1192" s="7"/>
      <c r="AA1192" s="7"/>
      <c r="AB1192" s="7">
        <f t="shared" si="92"/>
        <v>22.666666666666668</v>
      </c>
      <c r="AC1192" s="7">
        <f t="shared" si="90"/>
        <v>22.666666666666668</v>
      </c>
      <c r="AD1192" s="7">
        <v>1</v>
      </c>
      <c r="AE1192" s="7"/>
      <c r="AF1192" s="7" t="s">
        <v>40</v>
      </c>
      <c r="AG1192" s="7" t="s">
        <v>1036</v>
      </c>
      <c r="AH1192" s="7" t="s">
        <v>38</v>
      </c>
      <c r="AI1192" s="7"/>
      <c r="AJ1192" s="7"/>
      <c r="AK1192" s="10" t="s">
        <v>2475</v>
      </c>
      <c r="AL1192" s="9"/>
      <c r="AM1192" s="7" t="s">
        <v>650</v>
      </c>
      <c r="AN1192" s="7" t="s">
        <v>2848</v>
      </c>
      <c r="AO1192" s="15" t="s">
        <v>2642</v>
      </c>
    </row>
    <row r="1193" spans="1:41" s="11" customFormat="1" ht="24" x14ac:dyDescent="0.25">
      <c r="A1193" s="2">
        <v>1192</v>
      </c>
      <c r="B1193" s="7" t="s">
        <v>722</v>
      </c>
      <c r="C1193" s="7" t="s">
        <v>421</v>
      </c>
      <c r="D1193" s="7" t="s">
        <v>1037</v>
      </c>
      <c r="E1193" s="7">
        <f>391+43+80+33+21+34+15+12+10+18+8</f>
        <v>665</v>
      </c>
      <c r="F1193" s="8">
        <v>1</v>
      </c>
      <c r="G1193" s="8">
        <v>21</v>
      </c>
      <c r="H1193" s="7" t="s">
        <v>1038</v>
      </c>
      <c r="I1193" s="7">
        <v>21</v>
      </c>
      <c r="J1193" s="9" t="s">
        <v>35</v>
      </c>
      <c r="K1193" s="7">
        <v>1</v>
      </c>
      <c r="L1193" s="7" t="s">
        <v>52</v>
      </c>
      <c r="M1193" s="7">
        <f t="shared" si="89"/>
        <v>1</v>
      </c>
      <c r="N1193" s="9" t="s">
        <v>34</v>
      </c>
      <c r="O1193" s="7">
        <v>0</v>
      </c>
      <c r="P1193" s="9" t="s">
        <v>63</v>
      </c>
      <c r="Q1193" s="7" t="s">
        <v>38</v>
      </c>
      <c r="R1193" s="7" t="s">
        <v>38</v>
      </c>
      <c r="S1193" s="10" t="s">
        <v>2083</v>
      </c>
      <c r="T1193" s="7" t="s">
        <v>1039</v>
      </c>
      <c r="U1193" s="7">
        <v>67</v>
      </c>
      <c r="V1193" s="7">
        <v>150</v>
      </c>
      <c r="W1193" s="7" t="s">
        <v>1040</v>
      </c>
      <c r="X1193" s="7">
        <v>10</v>
      </c>
      <c r="Y1193" s="7">
        <v>100</v>
      </c>
      <c r="Z1193" s="7">
        <v>100</v>
      </c>
      <c r="AA1193" s="7">
        <v>109</v>
      </c>
      <c r="AB1193" s="7">
        <f t="shared" si="92"/>
        <v>59</v>
      </c>
      <c r="AC1193" s="7">
        <f t="shared" si="90"/>
        <v>59</v>
      </c>
      <c r="AD1193" s="7"/>
      <c r="AE1193" s="7">
        <v>1</v>
      </c>
      <c r="AF1193" s="7" t="s">
        <v>40</v>
      </c>
      <c r="AG1193" s="7" t="s">
        <v>1041</v>
      </c>
      <c r="AH1193" s="7" t="s">
        <v>38</v>
      </c>
      <c r="AI1193" s="7"/>
      <c r="AJ1193" s="10" t="s">
        <v>2350</v>
      </c>
      <c r="AK1193" s="10" t="s">
        <v>2476</v>
      </c>
      <c r="AL1193" s="9"/>
      <c r="AM1193" s="7" t="s">
        <v>650</v>
      </c>
      <c r="AN1193" s="7" t="s">
        <v>2848</v>
      </c>
      <c r="AO1193" s="15" t="s">
        <v>2643</v>
      </c>
    </row>
    <row r="1194" spans="1:41" s="11" customFormat="1" x14ac:dyDescent="0.25">
      <c r="A1194" s="2">
        <v>1193</v>
      </c>
      <c r="B1194" s="7" t="s">
        <v>722</v>
      </c>
      <c r="C1194" s="7" t="s">
        <v>50</v>
      </c>
      <c r="D1194" s="7">
        <v>147</v>
      </c>
      <c r="E1194" s="7">
        <v>147</v>
      </c>
      <c r="F1194" s="8">
        <v>1</v>
      </c>
      <c r="G1194" s="8">
        <v>1</v>
      </c>
      <c r="H1194" s="7">
        <v>1</v>
      </c>
      <c r="I1194" s="7">
        <v>1</v>
      </c>
      <c r="J1194" s="9" t="s">
        <v>35</v>
      </c>
      <c r="K1194" s="7">
        <v>2</v>
      </c>
      <c r="L1194" s="7" t="s">
        <v>52</v>
      </c>
      <c r="M1194" s="7">
        <f t="shared" si="89"/>
        <v>1</v>
      </c>
      <c r="N1194" s="9" t="s">
        <v>34</v>
      </c>
      <c r="O1194" s="7">
        <v>1</v>
      </c>
      <c r="P1194" s="9" t="s">
        <v>63</v>
      </c>
      <c r="Q1194" s="7" t="s">
        <v>38</v>
      </c>
      <c r="R1194" s="7" t="s">
        <v>52</v>
      </c>
      <c r="S1194" s="10" t="s">
        <v>2084</v>
      </c>
      <c r="T1194" s="7"/>
      <c r="U1194" s="7"/>
      <c r="V1194" s="7"/>
      <c r="W1194" s="7"/>
      <c r="X1194" s="7"/>
      <c r="Y1194" s="7">
        <v>45</v>
      </c>
      <c r="Z1194" s="7">
        <v>45</v>
      </c>
      <c r="AA1194" s="7">
        <v>110</v>
      </c>
      <c r="AB1194" s="7">
        <f t="shared" si="92"/>
        <v>15</v>
      </c>
      <c r="AC1194" s="7">
        <f t="shared" si="90"/>
        <v>15</v>
      </c>
      <c r="AD1194" s="7"/>
      <c r="AE1194" s="7"/>
      <c r="AF1194" s="7"/>
      <c r="AG1194" s="7"/>
      <c r="AH1194" s="7"/>
      <c r="AI1194" s="7"/>
      <c r="AJ1194" s="7" t="s">
        <v>1042</v>
      </c>
      <c r="AK1194" s="7"/>
      <c r="AL1194" s="9"/>
      <c r="AM1194" s="7" t="s">
        <v>1043</v>
      </c>
      <c r="AN1194" s="7" t="s">
        <v>2848</v>
      </c>
      <c r="AO1194" s="12"/>
    </row>
    <row r="1195" spans="1:41" s="11" customFormat="1" x14ac:dyDescent="0.25">
      <c r="A1195" s="2">
        <v>1194</v>
      </c>
      <c r="B1195" s="7" t="s">
        <v>722</v>
      </c>
      <c r="C1195" s="7" t="s">
        <v>78</v>
      </c>
      <c r="D1195" s="7">
        <v>22</v>
      </c>
      <c r="E1195" s="7">
        <v>22</v>
      </c>
      <c r="F1195" s="8">
        <v>1</v>
      </c>
      <c r="G1195" s="8">
        <v>1</v>
      </c>
      <c r="H1195" s="7">
        <v>1</v>
      </c>
      <c r="I1195" s="7">
        <v>1</v>
      </c>
      <c r="J1195" s="9" t="s">
        <v>35</v>
      </c>
      <c r="K1195" s="7" t="s">
        <v>852</v>
      </c>
      <c r="L1195" s="7" t="s">
        <v>52</v>
      </c>
      <c r="M1195" s="7">
        <f t="shared" si="89"/>
        <v>1</v>
      </c>
      <c r="N1195" s="9" t="s">
        <v>34</v>
      </c>
      <c r="O1195" s="7">
        <v>0</v>
      </c>
      <c r="P1195" s="9" t="s">
        <v>63</v>
      </c>
      <c r="Q1195" s="7" t="s">
        <v>38</v>
      </c>
      <c r="R1195" s="7" t="s">
        <v>38</v>
      </c>
      <c r="S1195" s="10" t="s">
        <v>2085</v>
      </c>
      <c r="T1195" s="7">
        <v>7</v>
      </c>
      <c r="U1195" s="7">
        <v>7</v>
      </c>
      <c r="V1195" s="7">
        <v>170</v>
      </c>
      <c r="W1195" s="7" t="s">
        <v>673</v>
      </c>
      <c r="X1195" s="7"/>
      <c r="Y1195" s="7"/>
      <c r="Z1195" s="7"/>
      <c r="AA1195" s="7"/>
      <c r="AB1195" s="7">
        <f t="shared" si="92"/>
        <v>2.3333333333333335</v>
      </c>
      <c r="AC1195" s="7">
        <f t="shared" si="90"/>
        <v>2.3333333333333335</v>
      </c>
      <c r="AD1195" s="7"/>
      <c r="AE1195" s="7"/>
      <c r="AF1195" s="7"/>
      <c r="AG1195" s="7"/>
      <c r="AH1195" s="7"/>
      <c r="AI1195" s="7"/>
      <c r="AJ1195" s="7"/>
      <c r="AK1195" s="7"/>
      <c r="AL1195" s="9"/>
      <c r="AM1195" s="7" t="s">
        <v>1044</v>
      </c>
      <c r="AN1195" s="7" t="s">
        <v>2848</v>
      </c>
      <c r="AO1195" s="15" t="s">
        <v>2644</v>
      </c>
    </row>
    <row r="1196" spans="1:41" s="11" customFormat="1" ht="24" x14ac:dyDescent="0.25">
      <c r="A1196" s="2">
        <v>1195</v>
      </c>
      <c r="B1196" s="7" t="s">
        <v>722</v>
      </c>
      <c r="C1196" s="7" t="s">
        <v>50</v>
      </c>
      <c r="D1196" s="7">
        <v>52</v>
      </c>
      <c r="E1196" s="7">
        <v>52</v>
      </c>
      <c r="F1196" s="8">
        <v>1</v>
      </c>
      <c r="G1196" s="8">
        <v>1</v>
      </c>
      <c r="H1196" s="7">
        <v>1</v>
      </c>
      <c r="I1196" s="7">
        <v>1</v>
      </c>
      <c r="J1196" s="9" t="s">
        <v>35</v>
      </c>
      <c r="K1196" s="7">
        <v>2</v>
      </c>
      <c r="L1196" s="7" t="s">
        <v>52</v>
      </c>
      <c r="M1196" s="7">
        <f t="shared" si="89"/>
        <v>1</v>
      </c>
      <c r="N1196" s="9" t="s">
        <v>36</v>
      </c>
      <c r="O1196" s="7">
        <v>1</v>
      </c>
      <c r="P1196" s="9" t="s">
        <v>63</v>
      </c>
      <c r="Q1196" s="7" t="s">
        <v>38</v>
      </c>
      <c r="R1196" s="7" t="s">
        <v>38</v>
      </c>
      <c r="S1196" s="10" t="s">
        <v>2086</v>
      </c>
      <c r="T1196" s="7"/>
      <c r="U1196" s="7"/>
      <c r="V1196" s="7"/>
      <c r="W1196" s="7"/>
      <c r="X1196" s="7"/>
      <c r="Y1196" s="7">
        <v>22</v>
      </c>
      <c r="Z1196" s="7">
        <v>22</v>
      </c>
      <c r="AA1196" s="7">
        <v>100</v>
      </c>
      <c r="AB1196" s="7">
        <f t="shared" si="92"/>
        <v>7.333333333333333</v>
      </c>
      <c r="AC1196" s="7">
        <f t="shared" si="90"/>
        <v>7.333333333333333</v>
      </c>
      <c r="AD1196" s="7"/>
      <c r="AE1196" s="7"/>
      <c r="AF1196" s="7"/>
      <c r="AG1196" s="7"/>
      <c r="AH1196" s="7"/>
      <c r="AI1196" s="7"/>
      <c r="AJ1196" s="10" t="s">
        <v>2393</v>
      </c>
      <c r="AK1196" s="7"/>
      <c r="AL1196" s="9"/>
      <c r="AM1196" s="7" t="s">
        <v>71</v>
      </c>
      <c r="AN1196" s="7" t="s">
        <v>71</v>
      </c>
      <c r="AO1196" s="15" t="s">
        <v>2645</v>
      </c>
    </row>
    <row r="1197" spans="1:41" s="11" customFormat="1" x14ac:dyDescent="0.25">
      <c r="A1197" s="2">
        <v>1196</v>
      </c>
      <c r="B1197" s="7" t="s">
        <v>722</v>
      </c>
      <c r="C1197" s="7" t="s">
        <v>669</v>
      </c>
      <c r="D1197" s="7">
        <v>12</v>
      </c>
      <c r="E1197" s="7">
        <v>12</v>
      </c>
      <c r="F1197" s="8">
        <v>1</v>
      </c>
      <c r="G1197" s="8">
        <v>1</v>
      </c>
      <c r="H1197" s="7">
        <v>1</v>
      </c>
      <c r="I1197" s="7">
        <v>1</v>
      </c>
      <c r="J1197" s="9" t="s">
        <v>35</v>
      </c>
      <c r="K1197" s="7">
        <v>2</v>
      </c>
      <c r="L1197" s="7" t="s">
        <v>52</v>
      </c>
      <c r="M1197" s="7">
        <f t="shared" si="89"/>
        <v>1</v>
      </c>
      <c r="N1197" s="9" t="s">
        <v>82</v>
      </c>
      <c r="O1197" s="7">
        <v>0</v>
      </c>
      <c r="P1197" s="9" t="s">
        <v>36</v>
      </c>
      <c r="Q1197" s="7" t="s">
        <v>52</v>
      </c>
      <c r="R1197" s="7" t="s">
        <v>38</v>
      </c>
      <c r="S1197" s="10" t="s">
        <v>2087</v>
      </c>
      <c r="T1197" s="7"/>
      <c r="U1197" s="7"/>
      <c r="V1197" s="7"/>
      <c r="W1197" s="7"/>
      <c r="X1197" s="7">
        <v>3</v>
      </c>
      <c r="Y1197" s="7"/>
      <c r="Z1197" s="7"/>
      <c r="AA1197" s="7"/>
      <c r="AB1197" s="7">
        <f t="shared" si="92"/>
        <v>1</v>
      </c>
      <c r="AC1197" s="7">
        <f t="shared" si="90"/>
        <v>1</v>
      </c>
      <c r="AD1197" s="7">
        <v>1</v>
      </c>
      <c r="AE1197" s="7"/>
      <c r="AF1197" s="7" t="s">
        <v>308</v>
      </c>
      <c r="AG1197" s="7" t="s">
        <v>1045</v>
      </c>
      <c r="AH1197" s="7"/>
      <c r="AI1197" s="7"/>
      <c r="AJ1197" s="7"/>
      <c r="AK1197" s="7"/>
      <c r="AL1197" s="9"/>
      <c r="AM1197" s="7" t="s">
        <v>67</v>
      </c>
      <c r="AN1197" s="7" t="s">
        <v>2847</v>
      </c>
      <c r="AO1197" s="15" t="s">
        <v>2631</v>
      </c>
    </row>
    <row r="1198" spans="1:41" s="11" customFormat="1" ht="24" x14ac:dyDescent="0.25">
      <c r="A1198" s="2">
        <v>1197</v>
      </c>
      <c r="B1198" s="7" t="s">
        <v>722</v>
      </c>
      <c r="C1198" s="7" t="s">
        <v>50</v>
      </c>
      <c r="D1198" s="7">
        <v>69</v>
      </c>
      <c r="E1198" s="7">
        <v>69</v>
      </c>
      <c r="F1198" s="8">
        <v>1</v>
      </c>
      <c r="G1198" s="8">
        <v>2</v>
      </c>
      <c r="H1198" s="7">
        <v>2</v>
      </c>
      <c r="I1198" s="7">
        <v>2</v>
      </c>
      <c r="J1198" s="9" t="s">
        <v>35</v>
      </c>
      <c r="K1198" s="7">
        <v>2</v>
      </c>
      <c r="L1198" s="7" t="s">
        <v>52</v>
      </c>
      <c r="M1198" s="7">
        <f t="shared" si="89"/>
        <v>1</v>
      </c>
      <c r="N1198" s="9" t="s">
        <v>34</v>
      </c>
      <c r="O1198" s="7">
        <v>0</v>
      </c>
      <c r="P1198" s="9" t="s">
        <v>63</v>
      </c>
      <c r="Q1198" s="7" t="s">
        <v>38</v>
      </c>
      <c r="R1198" s="7" t="s">
        <v>38</v>
      </c>
      <c r="S1198" s="10" t="s">
        <v>2088</v>
      </c>
      <c r="T1198" s="7"/>
      <c r="U1198" s="7"/>
      <c r="V1198" s="7"/>
      <c r="W1198" s="7"/>
      <c r="X1198" s="7"/>
      <c r="Y1198" s="7">
        <v>95</v>
      </c>
      <c r="Z1198" s="7">
        <v>95</v>
      </c>
      <c r="AA1198" s="7">
        <v>61</v>
      </c>
      <c r="AB1198" s="7">
        <f t="shared" si="92"/>
        <v>31.666666666666668</v>
      </c>
      <c r="AC1198" s="7">
        <f t="shared" si="90"/>
        <v>31.666666666666668</v>
      </c>
      <c r="AD1198" s="7"/>
      <c r="AE1198" s="7"/>
      <c r="AF1198" s="7"/>
      <c r="AG1198" s="7"/>
      <c r="AH1198" s="7"/>
      <c r="AI1198" s="7"/>
      <c r="AJ1198" s="7"/>
      <c r="AK1198" s="7"/>
      <c r="AL1198" s="9"/>
      <c r="AM1198" s="7" t="s">
        <v>42</v>
      </c>
      <c r="AN1198" s="7" t="s">
        <v>42</v>
      </c>
      <c r="AO1198" s="15" t="s">
        <v>2632</v>
      </c>
    </row>
    <row r="1199" spans="1:41" s="11" customFormat="1" x14ac:dyDescent="0.25">
      <c r="A1199" s="2">
        <v>1198</v>
      </c>
      <c r="B1199" s="7" t="s">
        <v>722</v>
      </c>
      <c r="C1199" s="7" t="s">
        <v>89</v>
      </c>
      <c r="D1199" s="7" t="s">
        <v>232</v>
      </c>
      <c r="E1199" s="7">
        <v>20</v>
      </c>
      <c r="F1199" s="8">
        <v>1</v>
      </c>
      <c r="G1199" s="8">
        <v>2</v>
      </c>
      <c r="H1199" s="7">
        <v>2</v>
      </c>
      <c r="I1199" s="7">
        <v>2</v>
      </c>
      <c r="J1199" s="9" t="s">
        <v>35</v>
      </c>
      <c r="K1199" s="7">
        <v>2</v>
      </c>
      <c r="L1199" s="7" t="s">
        <v>52</v>
      </c>
      <c r="M1199" s="7">
        <f t="shared" si="89"/>
        <v>1</v>
      </c>
      <c r="N1199" s="9" t="s">
        <v>37</v>
      </c>
      <c r="O1199" s="7">
        <v>0</v>
      </c>
      <c r="P1199" s="9" t="s">
        <v>63</v>
      </c>
      <c r="Q1199" s="7" t="s">
        <v>38</v>
      </c>
      <c r="R1199" s="7" t="s">
        <v>38</v>
      </c>
      <c r="S1199" s="10" t="s">
        <v>1927</v>
      </c>
      <c r="T1199" s="7"/>
      <c r="U1199" s="7"/>
      <c r="V1199" s="7"/>
      <c r="W1199" s="7"/>
      <c r="X1199" s="7">
        <v>3</v>
      </c>
      <c r="Y1199" s="7"/>
      <c r="Z1199" s="7"/>
      <c r="AA1199" s="7"/>
      <c r="AB1199" s="7">
        <f t="shared" si="92"/>
        <v>1</v>
      </c>
      <c r="AC1199" s="7">
        <f t="shared" si="90"/>
        <v>1</v>
      </c>
      <c r="AD1199" s="7"/>
      <c r="AE1199" s="7"/>
      <c r="AF1199" s="7"/>
      <c r="AG1199" s="7"/>
      <c r="AH1199" s="7"/>
      <c r="AI1199" s="7"/>
      <c r="AJ1199" s="7"/>
      <c r="AK1199" s="10" t="s">
        <v>2431</v>
      </c>
      <c r="AL1199" s="9"/>
      <c r="AM1199" s="7" t="s">
        <v>42</v>
      </c>
      <c r="AN1199" s="7" t="s">
        <v>42</v>
      </c>
      <c r="AO1199" s="15" t="s">
        <v>2646</v>
      </c>
    </row>
    <row r="1200" spans="1:41" s="11" customFormat="1" x14ac:dyDescent="0.25">
      <c r="A1200" s="2">
        <v>1199</v>
      </c>
      <c r="B1200" s="7" t="s">
        <v>722</v>
      </c>
      <c r="C1200" s="7" t="s">
        <v>104</v>
      </c>
      <c r="D1200" s="7" t="s">
        <v>1046</v>
      </c>
      <c r="E1200" s="7">
        <v>18</v>
      </c>
      <c r="F1200" s="8">
        <v>1</v>
      </c>
      <c r="G1200" s="8">
        <v>2</v>
      </c>
      <c r="H1200" s="7">
        <v>2</v>
      </c>
      <c r="I1200" s="7">
        <v>2</v>
      </c>
      <c r="J1200" s="9" t="s">
        <v>35</v>
      </c>
      <c r="K1200" s="7">
        <v>2</v>
      </c>
      <c r="L1200" s="7" t="s">
        <v>52</v>
      </c>
      <c r="M1200" s="7">
        <f t="shared" si="89"/>
        <v>1</v>
      </c>
      <c r="N1200" s="9" t="s">
        <v>34</v>
      </c>
      <c r="O1200" s="7">
        <v>0</v>
      </c>
      <c r="P1200" s="9" t="s">
        <v>63</v>
      </c>
      <c r="Q1200" s="7" t="s">
        <v>38</v>
      </c>
      <c r="R1200" s="7" t="s">
        <v>38</v>
      </c>
      <c r="S1200" s="10" t="s">
        <v>2089</v>
      </c>
      <c r="T1200" s="7"/>
      <c r="U1200" s="7"/>
      <c r="V1200" s="7"/>
      <c r="W1200" s="7"/>
      <c r="X1200" s="7">
        <v>3</v>
      </c>
      <c r="Y1200" s="7"/>
      <c r="Z1200" s="7"/>
      <c r="AA1200" s="7"/>
      <c r="AB1200" s="7">
        <f t="shared" si="92"/>
        <v>1</v>
      </c>
      <c r="AC1200" s="7">
        <f t="shared" si="90"/>
        <v>1</v>
      </c>
      <c r="AD1200" s="7"/>
      <c r="AE1200" s="7">
        <v>1</v>
      </c>
      <c r="AF1200" s="7" t="s">
        <v>40</v>
      </c>
      <c r="AG1200" s="7" t="s">
        <v>247</v>
      </c>
      <c r="AH1200" s="7"/>
      <c r="AI1200" s="7"/>
      <c r="AJ1200" s="7"/>
      <c r="AK1200" s="7"/>
      <c r="AL1200" s="9"/>
      <c r="AM1200" s="7" t="s">
        <v>71</v>
      </c>
      <c r="AN1200" s="7" t="s">
        <v>71</v>
      </c>
      <c r="AO1200" s="15" t="s">
        <v>2647</v>
      </c>
    </row>
    <row r="1201" spans="1:41" s="11" customFormat="1" x14ac:dyDescent="0.25">
      <c r="A1201" s="2">
        <v>1200</v>
      </c>
      <c r="B1201" s="7" t="s">
        <v>722</v>
      </c>
      <c r="C1201" s="7" t="s">
        <v>104</v>
      </c>
      <c r="D1201" s="7">
        <v>12</v>
      </c>
      <c r="E1201" s="7">
        <v>12</v>
      </c>
      <c r="F1201" s="8">
        <v>1</v>
      </c>
      <c r="G1201" s="8">
        <v>1</v>
      </c>
      <c r="H1201" s="7">
        <v>1</v>
      </c>
      <c r="I1201" s="7">
        <v>1</v>
      </c>
      <c r="J1201" s="9" t="s">
        <v>35</v>
      </c>
      <c r="K1201" s="7">
        <v>1</v>
      </c>
      <c r="L1201" s="7" t="s">
        <v>52</v>
      </c>
      <c r="M1201" s="7">
        <f t="shared" si="89"/>
        <v>1</v>
      </c>
      <c r="N1201" s="9" t="s">
        <v>34</v>
      </c>
      <c r="O1201" s="7">
        <v>0</v>
      </c>
      <c r="P1201" s="9" t="s">
        <v>34</v>
      </c>
      <c r="Q1201" s="7" t="s">
        <v>38</v>
      </c>
      <c r="R1201" s="7" t="s">
        <v>38</v>
      </c>
      <c r="S1201" s="10" t="s">
        <v>1605</v>
      </c>
      <c r="T1201" s="7"/>
      <c r="U1201" s="7"/>
      <c r="V1201" s="7"/>
      <c r="W1201" s="7"/>
      <c r="X1201" s="7">
        <v>3</v>
      </c>
      <c r="Y1201" s="7"/>
      <c r="Z1201" s="7"/>
      <c r="AA1201" s="7"/>
      <c r="AB1201" s="7">
        <f t="shared" si="92"/>
        <v>1</v>
      </c>
      <c r="AC1201" s="7">
        <f t="shared" si="90"/>
        <v>1</v>
      </c>
      <c r="AD1201" s="7"/>
      <c r="AE1201" s="7">
        <v>1</v>
      </c>
      <c r="AF1201" s="7"/>
      <c r="AG1201" s="7" t="s">
        <v>1047</v>
      </c>
      <c r="AH1201" s="7" t="s">
        <v>38</v>
      </c>
      <c r="AI1201" s="7"/>
      <c r="AJ1201" s="7"/>
      <c r="AK1201" s="7"/>
      <c r="AL1201" s="9"/>
      <c r="AM1201" s="7" t="s">
        <v>71</v>
      </c>
      <c r="AN1201" s="7" t="s">
        <v>71</v>
      </c>
      <c r="AO1201" s="7"/>
    </row>
    <row r="1202" spans="1:41" s="11" customFormat="1" ht="24" x14ac:dyDescent="0.25">
      <c r="A1202" s="2">
        <v>1201</v>
      </c>
      <c r="B1202" s="7" t="s">
        <v>722</v>
      </c>
      <c r="C1202" s="7" t="s">
        <v>78</v>
      </c>
      <c r="D1202" s="7" t="s">
        <v>1048</v>
      </c>
      <c r="E1202" s="7">
        <v>9</v>
      </c>
      <c r="F1202" s="8">
        <v>1</v>
      </c>
      <c r="G1202" s="8">
        <v>3</v>
      </c>
      <c r="H1202" s="7">
        <v>3</v>
      </c>
      <c r="I1202" s="7">
        <v>3</v>
      </c>
      <c r="J1202" s="9" t="s">
        <v>35</v>
      </c>
      <c r="K1202" s="7">
        <v>1</v>
      </c>
      <c r="L1202" s="7" t="s">
        <v>52</v>
      </c>
      <c r="M1202" s="7">
        <f t="shared" si="89"/>
        <v>1</v>
      </c>
      <c r="N1202" s="9" t="s">
        <v>34</v>
      </c>
      <c r="O1202" s="7">
        <v>0</v>
      </c>
      <c r="P1202" s="9" t="s">
        <v>33</v>
      </c>
      <c r="Q1202" s="7" t="s">
        <v>38</v>
      </c>
      <c r="R1202" s="7" t="s">
        <v>38</v>
      </c>
      <c r="S1202" s="7" t="s">
        <v>1049</v>
      </c>
      <c r="T1202" s="7">
        <v>30</v>
      </c>
      <c r="U1202" s="7">
        <v>30</v>
      </c>
      <c r="V1202" s="7">
        <v>80</v>
      </c>
      <c r="W1202" s="7" t="s">
        <v>83</v>
      </c>
      <c r="X1202" s="7"/>
      <c r="Y1202" s="7"/>
      <c r="Z1202" s="7"/>
      <c r="AA1202" s="7"/>
      <c r="AB1202" s="7">
        <f t="shared" si="92"/>
        <v>10</v>
      </c>
      <c r="AC1202" s="7">
        <f t="shared" si="90"/>
        <v>10</v>
      </c>
      <c r="AD1202" s="7"/>
      <c r="AE1202" s="7"/>
      <c r="AF1202" s="7"/>
      <c r="AG1202" s="7"/>
      <c r="AH1202" s="7"/>
      <c r="AI1202" s="7"/>
      <c r="AJ1202" s="7"/>
      <c r="AK1202" s="7"/>
      <c r="AL1202" s="9"/>
      <c r="AM1202" s="7" t="s">
        <v>42</v>
      </c>
      <c r="AN1202" s="7" t="s">
        <v>42</v>
      </c>
      <c r="AO1202" s="15" t="s">
        <v>2648</v>
      </c>
    </row>
    <row r="1203" spans="1:41" s="11" customFormat="1" ht="24" x14ac:dyDescent="0.25">
      <c r="A1203" s="2">
        <v>1202</v>
      </c>
      <c r="B1203" s="7" t="s">
        <v>722</v>
      </c>
      <c r="C1203" s="7" t="s">
        <v>78</v>
      </c>
      <c r="D1203" s="7">
        <v>9</v>
      </c>
      <c r="E1203" s="7">
        <v>9</v>
      </c>
      <c r="F1203" s="8">
        <v>1</v>
      </c>
      <c r="G1203" s="8">
        <v>1</v>
      </c>
      <c r="H1203" s="7">
        <v>1</v>
      </c>
      <c r="I1203" s="7">
        <v>1</v>
      </c>
      <c r="J1203" s="9" t="s">
        <v>35</v>
      </c>
      <c r="K1203" s="7">
        <v>1</v>
      </c>
      <c r="L1203" s="7" t="s">
        <v>52</v>
      </c>
      <c r="M1203" s="7">
        <f t="shared" si="89"/>
        <v>1</v>
      </c>
      <c r="N1203" s="9" t="s">
        <v>34</v>
      </c>
      <c r="O1203" s="7">
        <v>0</v>
      </c>
      <c r="P1203" s="9" t="s">
        <v>33</v>
      </c>
      <c r="Q1203" s="7" t="s">
        <v>38</v>
      </c>
      <c r="R1203" s="7" t="s">
        <v>38</v>
      </c>
      <c r="S1203" s="7"/>
      <c r="T1203" s="7">
        <v>7</v>
      </c>
      <c r="U1203" s="7">
        <v>7</v>
      </c>
      <c r="V1203" s="7">
        <v>100</v>
      </c>
      <c r="W1203" s="7" t="s">
        <v>83</v>
      </c>
      <c r="X1203" s="7"/>
      <c r="Y1203" s="7"/>
      <c r="Z1203" s="7"/>
      <c r="AA1203" s="7"/>
      <c r="AB1203" s="7">
        <f t="shared" si="92"/>
        <v>2.3333333333333335</v>
      </c>
      <c r="AC1203" s="7">
        <f t="shared" si="90"/>
        <v>2.3333333333333335</v>
      </c>
      <c r="AD1203" s="7"/>
      <c r="AE1203" s="7"/>
      <c r="AF1203" s="7"/>
      <c r="AG1203" s="7"/>
      <c r="AH1203" s="7"/>
      <c r="AI1203" s="7"/>
      <c r="AJ1203" s="7"/>
      <c r="AK1203" s="7" t="s">
        <v>252</v>
      </c>
      <c r="AL1203" s="9"/>
      <c r="AM1203" s="7" t="s">
        <v>42</v>
      </c>
      <c r="AN1203" s="7" t="s">
        <v>42</v>
      </c>
      <c r="AO1203" s="15" t="s">
        <v>2648</v>
      </c>
    </row>
    <row r="1204" spans="1:41" s="11" customFormat="1" ht="24" x14ac:dyDescent="0.25">
      <c r="A1204" s="2">
        <v>1203</v>
      </c>
      <c r="B1204" s="7" t="s">
        <v>722</v>
      </c>
      <c r="C1204" s="7" t="s">
        <v>78</v>
      </c>
      <c r="D1204" s="7">
        <v>6</v>
      </c>
      <c r="E1204" s="7">
        <v>6</v>
      </c>
      <c r="F1204" s="8">
        <v>1</v>
      </c>
      <c r="G1204" s="8">
        <v>1</v>
      </c>
      <c r="H1204" s="7">
        <v>1</v>
      </c>
      <c r="I1204" s="7">
        <v>1</v>
      </c>
      <c r="J1204" s="9" t="s">
        <v>35</v>
      </c>
      <c r="K1204" s="7">
        <v>1</v>
      </c>
      <c r="L1204" s="7" t="s">
        <v>52</v>
      </c>
      <c r="M1204" s="7">
        <f t="shared" si="89"/>
        <v>1</v>
      </c>
      <c r="N1204" s="9" t="s">
        <v>36</v>
      </c>
      <c r="O1204" s="7">
        <v>0</v>
      </c>
      <c r="P1204" s="9" t="s">
        <v>34</v>
      </c>
      <c r="Q1204" s="7" t="s">
        <v>38</v>
      </c>
      <c r="R1204" s="7" t="s">
        <v>38</v>
      </c>
      <c r="S1204" s="10" t="s">
        <v>2090</v>
      </c>
      <c r="T1204" s="7">
        <v>7</v>
      </c>
      <c r="U1204" s="7">
        <v>7</v>
      </c>
      <c r="V1204" s="7">
        <v>90</v>
      </c>
      <c r="W1204" s="7" t="s">
        <v>83</v>
      </c>
      <c r="X1204" s="7"/>
      <c r="Y1204" s="7"/>
      <c r="Z1204" s="7"/>
      <c r="AA1204" s="7"/>
      <c r="AB1204" s="7">
        <f t="shared" si="92"/>
        <v>2.3333333333333335</v>
      </c>
      <c r="AC1204" s="7">
        <f t="shared" si="90"/>
        <v>2.3333333333333335</v>
      </c>
      <c r="AD1204" s="7"/>
      <c r="AE1204" s="7"/>
      <c r="AF1204" s="7"/>
      <c r="AG1204" s="7"/>
      <c r="AH1204" s="7"/>
      <c r="AI1204" s="7"/>
      <c r="AJ1204" s="7"/>
      <c r="AK1204" s="7" t="s">
        <v>252</v>
      </c>
      <c r="AL1204" s="9"/>
      <c r="AM1204" s="7" t="s">
        <v>42</v>
      </c>
      <c r="AN1204" s="7" t="s">
        <v>42</v>
      </c>
      <c r="AO1204" s="15" t="s">
        <v>2648</v>
      </c>
    </row>
    <row r="1205" spans="1:41" s="11" customFormat="1" x14ac:dyDescent="0.25">
      <c r="A1205" s="2">
        <v>1204</v>
      </c>
      <c r="B1205" s="7" t="s">
        <v>722</v>
      </c>
      <c r="C1205" s="7" t="s">
        <v>78</v>
      </c>
      <c r="D1205" s="7">
        <v>2</v>
      </c>
      <c r="E1205" s="7">
        <v>2</v>
      </c>
      <c r="F1205" s="8">
        <v>1</v>
      </c>
      <c r="G1205" s="8">
        <v>1</v>
      </c>
      <c r="H1205" s="7">
        <v>1</v>
      </c>
      <c r="I1205" s="7">
        <v>1</v>
      </c>
      <c r="J1205" s="9" t="s">
        <v>70</v>
      </c>
      <c r="K1205" s="7">
        <v>1</v>
      </c>
      <c r="L1205" s="7" t="s">
        <v>52</v>
      </c>
      <c r="M1205" s="7">
        <f t="shared" si="89"/>
        <v>1</v>
      </c>
      <c r="N1205" s="9" t="s">
        <v>34</v>
      </c>
      <c r="O1205" s="7">
        <v>0</v>
      </c>
      <c r="P1205" s="9" t="s">
        <v>34</v>
      </c>
      <c r="Q1205" s="7" t="s">
        <v>38</v>
      </c>
      <c r="R1205" s="7" t="s">
        <v>38</v>
      </c>
      <c r="S1205" s="7"/>
      <c r="T1205" s="7">
        <v>10</v>
      </c>
      <c r="U1205" s="7">
        <v>10</v>
      </c>
      <c r="V1205" s="7">
        <v>80</v>
      </c>
      <c r="W1205" s="7" t="s">
        <v>254</v>
      </c>
      <c r="X1205" s="7"/>
      <c r="Y1205" s="7"/>
      <c r="Z1205" s="7"/>
      <c r="AA1205" s="7"/>
      <c r="AB1205" s="7">
        <f t="shared" si="92"/>
        <v>3.3333333333333335</v>
      </c>
      <c r="AC1205" s="7">
        <f t="shared" si="90"/>
        <v>3.3333333333333335</v>
      </c>
      <c r="AD1205" s="7"/>
      <c r="AE1205" s="7"/>
      <c r="AF1205" s="7"/>
      <c r="AG1205" s="7"/>
      <c r="AH1205" s="7"/>
      <c r="AI1205" s="7"/>
      <c r="AJ1205" s="7"/>
      <c r="AK1205" s="7"/>
      <c r="AL1205" s="9"/>
      <c r="AM1205" s="7" t="s">
        <v>42</v>
      </c>
      <c r="AN1205" s="7" t="s">
        <v>42</v>
      </c>
      <c r="AO1205" s="15" t="s">
        <v>2631</v>
      </c>
    </row>
    <row r="1206" spans="1:41" s="11" customFormat="1" ht="24" x14ac:dyDescent="0.25">
      <c r="A1206" s="2">
        <v>1205</v>
      </c>
      <c r="B1206" s="7" t="s">
        <v>722</v>
      </c>
      <c r="C1206" s="7" t="s">
        <v>78</v>
      </c>
      <c r="D1206" s="7">
        <v>5</v>
      </c>
      <c r="E1206" s="7">
        <v>5</v>
      </c>
      <c r="F1206" s="8">
        <v>1</v>
      </c>
      <c r="G1206" s="8">
        <v>1</v>
      </c>
      <c r="H1206" s="7">
        <v>1</v>
      </c>
      <c r="I1206" s="7">
        <v>1</v>
      </c>
      <c r="J1206" s="9" t="s">
        <v>35</v>
      </c>
      <c r="K1206" s="7">
        <v>1</v>
      </c>
      <c r="L1206" s="7" t="s">
        <v>52</v>
      </c>
      <c r="M1206" s="7">
        <f t="shared" si="89"/>
        <v>1</v>
      </c>
      <c r="N1206" s="9" t="s">
        <v>34</v>
      </c>
      <c r="O1206" s="7">
        <v>2</v>
      </c>
      <c r="P1206" s="9" t="s">
        <v>33</v>
      </c>
      <c r="Q1206" s="7" t="s">
        <v>38</v>
      </c>
      <c r="R1206" s="7" t="s">
        <v>38</v>
      </c>
      <c r="S1206" s="10" t="s">
        <v>2091</v>
      </c>
      <c r="T1206" s="7">
        <v>5</v>
      </c>
      <c r="U1206" s="7">
        <v>5</v>
      </c>
      <c r="V1206" s="7">
        <v>140</v>
      </c>
      <c r="W1206" s="7" t="s">
        <v>1050</v>
      </c>
      <c r="X1206" s="7"/>
      <c r="Y1206" s="7"/>
      <c r="Z1206" s="7"/>
      <c r="AA1206" s="7"/>
      <c r="AB1206" s="7">
        <f t="shared" si="92"/>
        <v>1.6666666666666667</v>
      </c>
      <c r="AC1206" s="7">
        <f t="shared" si="90"/>
        <v>1.6666666666666667</v>
      </c>
      <c r="AD1206" s="7"/>
      <c r="AE1206" s="7"/>
      <c r="AF1206" s="7"/>
      <c r="AG1206" s="7"/>
      <c r="AH1206" s="7"/>
      <c r="AI1206" s="7"/>
      <c r="AJ1206" s="7"/>
      <c r="AK1206" s="7"/>
      <c r="AL1206" s="9"/>
      <c r="AM1206" s="7" t="s">
        <v>71</v>
      </c>
      <c r="AN1206" s="7" t="s">
        <v>71</v>
      </c>
      <c r="AO1206" s="15" t="s">
        <v>2649</v>
      </c>
    </row>
    <row r="1207" spans="1:41" s="11" customFormat="1" x14ac:dyDescent="0.25">
      <c r="A1207" s="2">
        <v>1206</v>
      </c>
      <c r="B1207" s="7" t="s">
        <v>722</v>
      </c>
      <c r="C1207" s="7" t="s">
        <v>89</v>
      </c>
      <c r="D1207" s="7" t="s">
        <v>1051</v>
      </c>
      <c r="E1207" s="7">
        <f>13+6</f>
        <v>19</v>
      </c>
      <c r="F1207" s="8">
        <v>5</v>
      </c>
      <c r="G1207" s="8">
        <v>5</v>
      </c>
      <c r="H1207" s="7" t="s">
        <v>345</v>
      </c>
      <c r="I1207" s="7">
        <v>5</v>
      </c>
      <c r="J1207" s="9" t="s">
        <v>35</v>
      </c>
      <c r="K1207" s="7">
        <v>2</v>
      </c>
      <c r="L1207" s="7" t="s">
        <v>52</v>
      </c>
      <c r="M1207" s="7">
        <f t="shared" si="89"/>
        <v>5</v>
      </c>
      <c r="N1207" s="9"/>
      <c r="O1207" s="7"/>
      <c r="P1207" s="9"/>
      <c r="Q1207" s="7"/>
      <c r="R1207" s="7"/>
      <c r="S1207" s="7"/>
      <c r="T1207" s="7"/>
      <c r="U1207" s="7"/>
      <c r="V1207" s="7"/>
      <c r="W1207" s="7"/>
      <c r="X1207" s="7">
        <v>3</v>
      </c>
      <c r="Y1207" s="7"/>
      <c r="Z1207" s="7"/>
      <c r="AA1207" s="7"/>
      <c r="AB1207" s="7">
        <f t="shared" si="92"/>
        <v>1</v>
      </c>
      <c r="AC1207" s="7">
        <f t="shared" si="90"/>
        <v>1</v>
      </c>
      <c r="AD1207" s="7"/>
      <c r="AE1207" s="7"/>
      <c r="AF1207" s="7"/>
      <c r="AG1207" s="7"/>
      <c r="AH1207" s="7"/>
      <c r="AI1207" s="7"/>
      <c r="AJ1207" s="7"/>
      <c r="AK1207" s="7"/>
      <c r="AL1207" s="9"/>
      <c r="AM1207" s="7" t="s">
        <v>71</v>
      </c>
      <c r="AN1207" s="7" t="s">
        <v>71</v>
      </c>
      <c r="AO1207" s="15" t="s">
        <v>2632</v>
      </c>
    </row>
    <row r="1208" spans="1:41" s="11" customFormat="1" ht="24" x14ac:dyDescent="0.25">
      <c r="A1208" s="2">
        <v>1207</v>
      </c>
      <c r="B1208" s="7" t="s">
        <v>722</v>
      </c>
      <c r="C1208" s="7" t="s">
        <v>823</v>
      </c>
      <c r="D1208" s="7" t="s">
        <v>1052</v>
      </c>
      <c r="E1208" s="7">
        <v>18</v>
      </c>
      <c r="F1208" s="8">
        <v>1</v>
      </c>
      <c r="G1208" s="8">
        <v>2</v>
      </c>
      <c r="H1208" s="7" t="s">
        <v>87</v>
      </c>
      <c r="I1208" s="7">
        <v>2</v>
      </c>
      <c r="J1208" s="9" t="s">
        <v>561</v>
      </c>
      <c r="K1208" s="7">
        <v>1</v>
      </c>
      <c r="L1208" s="7" t="s">
        <v>52</v>
      </c>
      <c r="M1208" s="7">
        <f t="shared" si="89"/>
        <v>1</v>
      </c>
      <c r="N1208" s="9" t="s">
        <v>36</v>
      </c>
      <c r="O1208" s="7">
        <v>0</v>
      </c>
      <c r="P1208" s="9" t="s">
        <v>63</v>
      </c>
      <c r="Q1208" s="7" t="s">
        <v>38</v>
      </c>
      <c r="R1208" s="7" t="s">
        <v>38</v>
      </c>
      <c r="S1208" s="10" t="s">
        <v>2092</v>
      </c>
      <c r="T1208" s="7"/>
      <c r="U1208" s="7"/>
      <c r="V1208" s="7"/>
      <c r="W1208" s="7"/>
      <c r="X1208" s="7">
        <v>3</v>
      </c>
      <c r="Y1208" s="7"/>
      <c r="Z1208" s="7">
        <v>20</v>
      </c>
      <c r="AA1208" s="7">
        <v>20</v>
      </c>
      <c r="AB1208" s="7">
        <f t="shared" si="92"/>
        <v>7.666666666666667</v>
      </c>
      <c r="AC1208" s="7">
        <f t="shared" si="90"/>
        <v>7.666666666666667</v>
      </c>
      <c r="AD1208" s="7">
        <v>60</v>
      </c>
      <c r="AE1208" s="7"/>
      <c r="AF1208" s="7"/>
      <c r="AG1208" s="7"/>
      <c r="AH1208" s="7"/>
      <c r="AI1208" s="7"/>
      <c r="AJ1208" s="7"/>
      <c r="AK1208" s="7"/>
      <c r="AL1208" s="9"/>
      <c r="AM1208" s="7" t="s">
        <v>71</v>
      </c>
      <c r="AN1208" s="7" t="s">
        <v>71</v>
      </c>
      <c r="AO1208" s="15" t="s">
        <v>2650</v>
      </c>
    </row>
    <row r="1209" spans="1:41" s="11" customFormat="1" x14ac:dyDescent="0.25">
      <c r="A1209" s="2">
        <v>1208</v>
      </c>
      <c r="B1209" s="7" t="s">
        <v>722</v>
      </c>
      <c r="C1209" s="7" t="s">
        <v>50</v>
      </c>
      <c r="D1209" s="7">
        <v>22</v>
      </c>
      <c r="E1209" s="7">
        <v>22</v>
      </c>
      <c r="F1209" s="8">
        <v>1</v>
      </c>
      <c r="G1209" s="8">
        <v>1</v>
      </c>
      <c r="H1209" s="7">
        <v>1</v>
      </c>
      <c r="I1209" s="7">
        <v>1</v>
      </c>
      <c r="J1209" s="9" t="s">
        <v>35</v>
      </c>
      <c r="K1209" s="7">
        <v>2</v>
      </c>
      <c r="L1209" s="7" t="s">
        <v>52</v>
      </c>
      <c r="M1209" s="7">
        <f t="shared" si="89"/>
        <v>1</v>
      </c>
      <c r="N1209" s="9" t="s">
        <v>34</v>
      </c>
      <c r="O1209" s="7">
        <v>0</v>
      </c>
      <c r="P1209" s="9" t="s">
        <v>63</v>
      </c>
      <c r="Q1209" s="7" t="s">
        <v>52</v>
      </c>
      <c r="R1209" s="7" t="s">
        <v>38</v>
      </c>
      <c r="S1209" s="10" t="s">
        <v>2093</v>
      </c>
      <c r="T1209" s="7"/>
      <c r="U1209" s="7"/>
      <c r="V1209" s="7"/>
      <c r="W1209" s="7"/>
      <c r="X1209" s="7"/>
      <c r="Y1209" s="7">
        <v>10</v>
      </c>
      <c r="Z1209" s="7">
        <v>10</v>
      </c>
      <c r="AA1209" s="7">
        <v>90</v>
      </c>
      <c r="AB1209" s="7">
        <f t="shared" si="92"/>
        <v>3.3333333333333335</v>
      </c>
      <c r="AC1209" s="7">
        <f t="shared" si="90"/>
        <v>3.3333333333333335</v>
      </c>
      <c r="AD1209" s="7"/>
      <c r="AE1209" s="7"/>
      <c r="AF1209" s="7"/>
      <c r="AG1209" s="7"/>
      <c r="AH1209" s="7"/>
      <c r="AI1209" s="7"/>
      <c r="AJ1209" s="7"/>
      <c r="AK1209" s="7"/>
      <c r="AL1209" s="9"/>
      <c r="AM1209" s="7" t="s">
        <v>71</v>
      </c>
      <c r="AN1209" s="7" t="s">
        <v>71</v>
      </c>
      <c r="AO1209" s="15" t="s">
        <v>2601</v>
      </c>
    </row>
    <row r="1210" spans="1:41" s="11" customFormat="1" x14ac:dyDescent="0.25">
      <c r="A1210" s="2">
        <v>1209</v>
      </c>
      <c r="B1210" s="7" t="s">
        <v>722</v>
      </c>
      <c r="C1210" s="7" t="s">
        <v>50</v>
      </c>
      <c r="D1210" s="7">
        <v>19</v>
      </c>
      <c r="E1210" s="7">
        <v>19</v>
      </c>
      <c r="F1210" s="8">
        <v>1</v>
      </c>
      <c r="G1210" s="8">
        <v>1</v>
      </c>
      <c r="H1210" s="7">
        <v>1</v>
      </c>
      <c r="I1210" s="7">
        <v>1</v>
      </c>
      <c r="J1210" s="9" t="s">
        <v>35</v>
      </c>
      <c r="K1210" s="7">
        <v>2</v>
      </c>
      <c r="L1210" s="7" t="s">
        <v>52</v>
      </c>
      <c r="M1210" s="7">
        <f t="shared" si="89"/>
        <v>1</v>
      </c>
      <c r="N1210" s="9" t="s">
        <v>36</v>
      </c>
      <c r="O1210" s="7">
        <v>0</v>
      </c>
      <c r="P1210" s="9" t="s">
        <v>63</v>
      </c>
      <c r="Q1210" s="7" t="s">
        <v>38</v>
      </c>
      <c r="R1210" s="7" t="s">
        <v>38</v>
      </c>
      <c r="S1210" s="10" t="s">
        <v>2094</v>
      </c>
      <c r="T1210" s="7"/>
      <c r="U1210" s="7"/>
      <c r="V1210" s="7"/>
      <c r="W1210" s="7"/>
      <c r="X1210" s="7"/>
      <c r="Y1210" s="7">
        <v>22</v>
      </c>
      <c r="Z1210" s="7">
        <v>22</v>
      </c>
      <c r="AA1210" s="7">
        <v>70</v>
      </c>
      <c r="AB1210" s="7">
        <f t="shared" si="92"/>
        <v>7.333333333333333</v>
      </c>
      <c r="AC1210" s="7">
        <f t="shared" si="90"/>
        <v>7.333333333333333</v>
      </c>
      <c r="AD1210" s="7"/>
      <c r="AE1210" s="7"/>
      <c r="AF1210" s="7"/>
      <c r="AG1210" s="7"/>
      <c r="AH1210" s="7"/>
      <c r="AI1210" s="7"/>
      <c r="AJ1210" s="7"/>
      <c r="AK1210" s="7"/>
      <c r="AL1210" s="9"/>
      <c r="AM1210" s="7" t="s">
        <v>71</v>
      </c>
      <c r="AN1210" s="7" t="s">
        <v>71</v>
      </c>
      <c r="AO1210" s="15" t="s">
        <v>2601</v>
      </c>
    </row>
    <row r="1211" spans="1:41" s="11" customFormat="1" x14ac:dyDescent="0.25">
      <c r="A1211" s="2">
        <v>1210</v>
      </c>
      <c r="B1211" s="7" t="s">
        <v>722</v>
      </c>
      <c r="C1211" s="7" t="s">
        <v>50</v>
      </c>
      <c r="D1211" s="7">
        <v>27</v>
      </c>
      <c r="E1211" s="7">
        <v>27</v>
      </c>
      <c r="F1211" s="8">
        <v>1</v>
      </c>
      <c r="G1211" s="8">
        <v>1</v>
      </c>
      <c r="H1211" s="7">
        <v>1</v>
      </c>
      <c r="I1211" s="7">
        <v>1</v>
      </c>
      <c r="J1211" s="9" t="s">
        <v>70</v>
      </c>
      <c r="K1211" s="7">
        <v>2</v>
      </c>
      <c r="L1211" s="7" t="s">
        <v>52</v>
      </c>
      <c r="M1211" s="7">
        <f t="shared" si="89"/>
        <v>1</v>
      </c>
      <c r="N1211" s="9" t="s">
        <v>34</v>
      </c>
      <c r="O1211" s="7">
        <v>0</v>
      </c>
      <c r="P1211" s="9" t="s">
        <v>63</v>
      </c>
      <c r="Q1211" s="7" t="s">
        <v>38</v>
      </c>
      <c r="R1211" s="7" t="s">
        <v>52</v>
      </c>
      <c r="S1211" s="10" t="s">
        <v>2095</v>
      </c>
      <c r="T1211" s="7"/>
      <c r="U1211" s="7"/>
      <c r="V1211" s="7"/>
      <c r="W1211" s="7"/>
      <c r="X1211" s="7"/>
      <c r="Y1211" s="7">
        <v>35</v>
      </c>
      <c r="Z1211" s="7">
        <v>35</v>
      </c>
      <c r="AA1211" s="7">
        <v>65</v>
      </c>
      <c r="AB1211" s="7">
        <f t="shared" si="92"/>
        <v>11.666666666666666</v>
      </c>
      <c r="AC1211" s="7">
        <f t="shared" si="90"/>
        <v>11.666666666666666</v>
      </c>
      <c r="AD1211" s="7"/>
      <c r="AE1211" s="7"/>
      <c r="AF1211" s="7"/>
      <c r="AG1211" s="7"/>
      <c r="AH1211" s="7"/>
      <c r="AI1211" s="7"/>
      <c r="AJ1211" s="7"/>
      <c r="AK1211" s="7"/>
      <c r="AL1211" s="9"/>
      <c r="AM1211" s="7" t="s">
        <v>71</v>
      </c>
      <c r="AN1211" s="7" t="s">
        <v>71</v>
      </c>
      <c r="AO1211" s="12"/>
    </row>
    <row r="1212" spans="1:41" s="11" customFormat="1" x14ac:dyDescent="0.25">
      <c r="A1212" s="2">
        <v>1211</v>
      </c>
      <c r="B1212" s="7" t="s">
        <v>722</v>
      </c>
      <c r="C1212" s="7" t="s">
        <v>100</v>
      </c>
      <c r="D1212" s="7">
        <v>3</v>
      </c>
      <c r="E1212" s="7">
        <v>3</v>
      </c>
      <c r="F1212" s="8">
        <v>1</v>
      </c>
      <c r="G1212" s="8">
        <v>1</v>
      </c>
      <c r="H1212" s="7">
        <v>1</v>
      </c>
      <c r="I1212" s="7">
        <v>1</v>
      </c>
      <c r="J1212" s="9" t="s">
        <v>77</v>
      </c>
      <c r="K1212" s="7">
        <v>1</v>
      </c>
      <c r="L1212" s="7" t="s">
        <v>38</v>
      </c>
      <c r="M1212" s="7">
        <f t="shared" si="89"/>
        <v>0</v>
      </c>
      <c r="N1212" s="9"/>
      <c r="O1212" s="7"/>
      <c r="P1212" s="9"/>
      <c r="Q1212" s="7"/>
      <c r="R1212" s="7"/>
      <c r="S1212" s="7"/>
      <c r="T1212" s="7"/>
      <c r="U1212" s="7"/>
      <c r="V1212" s="7"/>
      <c r="W1212" s="7"/>
      <c r="X1212" s="7">
        <v>3</v>
      </c>
      <c r="Y1212" s="7"/>
      <c r="Z1212" s="7"/>
      <c r="AA1212" s="7"/>
      <c r="AB1212" s="7">
        <f t="shared" si="92"/>
        <v>1</v>
      </c>
      <c r="AC1212" s="7">
        <f t="shared" si="90"/>
        <v>0</v>
      </c>
      <c r="AD1212" s="7"/>
      <c r="AE1212" s="7"/>
      <c r="AF1212" s="7"/>
      <c r="AG1212" s="7"/>
      <c r="AH1212" s="7"/>
      <c r="AI1212" s="7"/>
      <c r="AJ1212" s="7"/>
      <c r="AK1212" s="7"/>
      <c r="AL1212" s="9"/>
      <c r="AM1212" s="7" t="s">
        <v>71</v>
      </c>
      <c r="AN1212" s="7" t="s">
        <v>71</v>
      </c>
      <c r="AO1212" s="12"/>
    </row>
    <row r="1213" spans="1:41" s="11" customFormat="1" x14ac:dyDescent="0.25">
      <c r="A1213" s="2">
        <v>1212</v>
      </c>
      <c r="B1213" s="7" t="s">
        <v>722</v>
      </c>
      <c r="C1213" s="7" t="s">
        <v>104</v>
      </c>
      <c r="D1213" s="7">
        <v>8</v>
      </c>
      <c r="E1213" s="7">
        <v>8</v>
      </c>
      <c r="F1213" s="8">
        <v>1</v>
      </c>
      <c r="G1213" s="8">
        <v>1</v>
      </c>
      <c r="H1213" s="7">
        <v>1</v>
      </c>
      <c r="I1213" s="7">
        <v>1</v>
      </c>
      <c r="J1213" s="9" t="s">
        <v>70</v>
      </c>
      <c r="K1213" s="7">
        <v>1</v>
      </c>
      <c r="L1213" s="7" t="s">
        <v>52</v>
      </c>
      <c r="M1213" s="7">
        <f t="shared" si="89"/>
        <v>1</v>
      </c>
      <c r="N1213" s="9" t="s">
        <v>36</v>
      </c>
      <c r="O1213" s="7">
        <v>0</v>
      </c>
      <c r="P1213" s="9" t="s">
        <v>63</v>
      </c>
      <c r="Q1213" s="7"/>
      <c r="R1213" s="7" t="s">
        <v>38</v>
      </c>
      <c r="S1213" s="10" t="s">
        <v>2096</v>
      </c>
      <c r="T1213" s="7"/>
      <c r="U1213" s="7"/>
      <c r="V1213" s="7"/>
      <c r="W1213" s="7"/>
      <c r="X1213" s="7"/>
      <c r="Y1213" s="7"/>
      <c r="Z1213" s="7"/>
      <c r="AA1213" s="7"/>
      <c r="AB1213" s="7">
        <v>0.33333333333333298</v>
      </c>
      <c r="AC1213" s="7">
        <f t="shared" si="90"/>
        <v>0.33333333333333298</v>
      </c>
      <c r="AD1213" s="7">
        <v>1</v>
      </c>
      <c r="AE1213" s="7"/>
      <c r="AF1213" s="7" t="s">
        <v>40</v>
      </c>
      <c r="AG1213" s="7" t="s">
        <v>1053</v>
      </c>
      <c r="AH1213" s="7"/>
      <c r="AI1213" s="7"/>
      <c r="AJ1213" s="7"/>
      <c r="AK1213" s="7"/>
      <c r="AL1213" s="9"/>
      <c r="AM1213" s="7" t="s">
        <v>71</v>
      </c>
      <c r="AN1213" s="7" t="s">
        <v>71</v>
      </c>
      <c r="AO1213" s="15" t="s">
        <v>2651</v>
      </c>
    </row>
    <row r="1214" spans="1:41" s="11" customFormat="1" x14ac:dyDescent="0.25">
      <c r="A1214" s="2">
        <v>1213</v>
      </c>
      <c r="B1214" s="7" t="s">
        <v>722</v>
      </c>
      <c r="C1214" s="7" t="s">
        <v>104</v>
      </c>
      <c r="D1214" s="7">
        <v>8</v>
      </c>
      <c r="E1214" s="7">
        <v>8</v>
      </c>
      <c r="F1214" s="8">
        <v>1</v>
      </c>
      <c r="G1214" s="8">
        <v>1</v>
      </c>
      <c r="H1214" s="7">
        <v>1</v>
      </c>
      <c r="I1214" s="7">
        <v>1</v>
      </c>
      <c r="J1214" s="9" t="s">
        <v>70</v>
      </c>
      <c r="K1214" s="7">
        <v>1</v>
      </c>
      <c r="L1214" s="7" t="s">
        <v>52</v>
      </c>
      <c r="M1214" s="7">
        <f t="shared" si="89"/>
        <v>1</v>
      </c>
      <c r="N1214" s="9" t="s">
        <v>82</v>
      </c>
      <c r="O1214" s="7">
        <v>0</v>
      </c>
      <c r="P1214" s="9" t="s">
        <v>34</v>
      </c>
      <c r="Q1214" s="7" t="s">
        <v>38</v>
      </c>
      <c r="R1214" s="7" t="s">
        <v>38</v>
      </c>
      <c r="S1214" s="10" t="s">
        <v>2097</v>
      </c>
      <c r="T1214" s="7"/>
      <c r="U1214" s="7"/>
      <c r="V1214" s="7"/>
      <c r="W1214" s="7"/>
      <c r="X1214" s="7">
        <v>3</v>
      </c>
      <c r="Y1214" s="7"/>
      <c r="Z1214" s="7"/>
      <c r="AA1214" s="7"/>
      <c r="AB1214" s="7">
        <f t="shared" ref="AB1214:AB1219" si="93">(U1214+X1214+Z1214)/3</f>
        <v>1</v>
      </c>
      <c r="AC1214" s="7">
        <f t="shared" si="90"/>
        <v>1</v>
      </c>
      <c r="AD1214" s="7"/>
      <c r="AE1214" s="7">
        <v>1</v>
      </c>
      <c r="AF1214" s="7" t="s">
        <v>40</v>
      </c>
      <c r="AG1214" s="7" t="s">
        <v>742</v>
      </c>
      <c r="AH1214" s="7"/>
      <c r="AI1214" s="7"/>
      <c r="AJ1214" s="7"/>
      <c r="AK1214" s="7"/>
      <c r="AL1214" s="9"/>
      <c r="AM1214" s="7" t="s">
        <v>71</v>
      </c>
      <c r="AN1214" s="7" t="s">
        <v>71</v>
      </c>
      <c r="AO1214" s="12"/>
    </row>
    <row r="1215" spans="1:41" s="11" customFormat="1" x14ac:dyDescent="0.25">
      <c r="A1215" s="2">
        <v>1214</v>
      </c>
      <c r="B1215" s="7" t="s">
        <v>722</v>
      </c>
      <c r="C1215" s="7" t="s">
        <v>249</v>
      </c>
      <c r="D1215" s="7" t="s">
        <v>1054</v>
      </c>
      <c r="E1215" s="7">
        <f>23+13+5</f>
        <v>41</v>
      </c>
      <c r="F1215" s="8">
        <v>5</v>
      </c>
      <c r="G1215" s="8">
        <v>5</v>
      </c>
      <c r="H1215" s="7" t="s">
        <v>345</v>
      </c>
      <c r="I1215" s="7">
        <v>5</v>
      </c>
      <c r="J1215" s="9" t="s">
        <v>35</v>
      </c>
      <c r="K1215" s="7">
        <v>2</v>
      </c>
      <c r="L1215" s="7" t="s">
        <v>52</v>
      </c>
      <c r="M1215" s="7">
        <f t="shared" si="89"/>
        <v>5</v>
      </c>
      <c r="N1215" s="9" t="s">
        <v>34</v>
      </c>
      <c r="O1215" s="7">
        <v>0</v>
      </c>
      <c r="P1215" s="9" t="s">
        <v>33</v>
      </c>
      <c r="Q1215" s="7" t="s">
        <v>38</v>
      </c>
      <c r="R1215" s="7" t="s">
        <v>38</v>
      </c>
      <c r="S1215" s="7"/>
      <c r="T1215" s="7"/>
      <c r="U1215" s="7"/>
      <c r="V1215" s="7"/>
      <c r="W1215" s="7"/>
      <c r="X1215" s="7">
        <v>3</v>
      </c>
      <c r="Y1215" s="7"/>
      <c r="Z1215" s="7"/>
      <c r="AA1215" s="7"/>
      <c r="AB1215" s="7">
        <f t="shared" si="93"/>
        <v>1</v>
      </c>
      <c r="AC1215" s="7">
        <f t="shared" si="90"/>
        <v>1</v>
      </c>
      <c r="AD1215" s="7"/>
      <c r="AE1215" s="7">
        <v>5</v>
      </c>
      <c r="AF1215" s="7" t="s">
        <v>40</v>
      </c>
      <c r="AG1215" s="7" t="s">
        <v>1055</v>
      </c>
      <c r="AH1215" s="7"/>
      <c r="AI1215" s="7"/>
      <c r="AJ1215" s="7"/>
      <c r="AK1215" s="7"/>
      <c r="AL1215" s="9"/>
      <c r="AM1215" s="7" t="s">
        <v>71</v>
      </c>
      <c r="AN1215" s="7" t="s">
        <v>71</v>
      </c>
      <c r="AO1215" s="15" t="s">
        <v>2652</v>
      </c>
    </row>
    <row r="1216" spans="1:41" s="11" customFormat="1" x14ac:dyDescent="0.25">
      <c r="A1216" s="2">
        <v>1215</v>
      </c>
      <c r="B1216" s="7" t="s">
        <v>722</v>
      </c>
      <c r="C1216" s="7" t="s">
        <v>249</v>
      </c>
      <c r="D1216" s="7" t="s">
        <v>1056</v>
      </c>
      <c r="E1216" s="7">
        <v>31</v>
      </c>
      <c r="F1216" s="8">
        <v>3</v>
      </c>
      <c r="G1216" s="8">
        <v>3</v>
      </c>
      <c r="H1216" s="7" t="s">
        <v>97</v>
      </c>
      <c r="I1216" s="7">
        <v>3</v>
      </c>
      <c r="J1216" s="9" t="s">
        <v>35</v>
      </c>
      <c r="K1216" s="7">
        <v>1</v>
      </c>
      <c r="L1216" s="7" t="s">
        <v>52</v>
      </c>
      <c r="M1216" s="7">
        <f t="shared" si="89"/>
        <v>3</v>
      </c>
      <c r="N1216" s="9" t="s">
        <v>34</v>
      </c>
      <c r="O1216" s="7">
        <v>0</v>
      </c>
      <c r="P1216" s="9" t="s">
        <v>37</v>
      </c>
      <c r="Q1216" s="7" t="s">
        <v>38</v>
      </c>
      <c r="R1216" s="7" t="s">
        <v>38</v>
      </c>
      <c r="S1216" s="7"/>
      <c r="T1216" s="7"/>
      <c r="U1216" s="7"/>
      <c r="V1216" s="7"/>
      <c r="W1216" s="7"/>
      <c r="X1216" s="7">
        <v>3</v>
      </c>
      <c r="Y1216" s="7"/>
      <c r="Z1216" s="7"/>
      <c r="AA1216" s="7"/>
      <c r="AB1216" s="7">
        <f t="shared" si="93"/>
        <v>1</v>
      </c>
      <c r="AC1216" s="7">
        <f t="shared" si="90"/>
        <v>1</v>
      </c>
      <c r="AD1216" s="7"/>
      <c r="AE1216" s="7">
        <v>3</v>
      </c>
      <c r="AF1216" s="7" t="s">
        <v>40</v>
      </c>
      <c r="AG1216" s="7" t="s">
        <v>1057</v>
      </c>
      <c r="AH1216" s="7"/>
      <c r="AI1216" s="7"/>
      <c r="AJ1216" s="7"/>
      <c r="AK1216" s="7"/>
      <c r="AL1216" s="9"/>
      <c r="AM1216" s="7" t="s">
        <v>71</v>
      </c>
      <c r="AN1216" s="7" t="s">
        <v>71</v>
      </c>
      <c r="AO1216" s="15" t="s">
        <v>2653</v>
      </c>
    </row>
    <row r="1217" spans="1:41" s="11" customFormat="1" x14ac:dyDescent="0.25">
      <c r="A1217" s="2">
        <v>1216</v>
      </c>
      <c r="B1217" s="7" t="s">
        <v>722</v>
      </c>
      <c r="C1217" s="7" t="s">
        <v>119</v>
      </c>
      <c r="D1217" s="7" t="s">
        <v>1058</v>
      </c>
      <c r="E1217" s="7">
        <v>19</v>
      </c>
      <c r="F1217" s="8">
        <v>1</v>
      </c>
      <c r="G1217" s="8">
        <v>2</v>
      </c>
      <c r="H1217" s="7">
        <v>2</v>
      </c>
      <c r="I1217" s="7">
        <v>2</v>
      </c>
      <c r="J1217" s="9" t="s">
        <v>35</v>
      </c>
      <c r="K1217" s="7">
        <v>2</v>
      </c>
      <c r="L1217" s="7" t="s">
        <v>52</v>
      </c>
      <c r="M1217" s="7">
        <f t="shared" si="89"/>
        <v>1</v>
      </c>
      <c r="N1217" s="9" t="s">
        <v>34</v>
      </c>
      <c r="O1217" s="7">
        <v>0</v>
      </c>
      <c r="P1217" s="9" t="s">
        <v>63</v>
      </c>
      <c r="Q1217" s="7" t="s">
        <v>38</v>
      </c>
      <c r="R1217" s="7" t="s">
        <v>38</v>
      </c>
      <c r="S1217" s="7"/>
      <c r="T1217" s="7"/>
      <c r="U1217" s="7"/>
      <c r="V1217" s="7"/>
      <c r="W1217" s="7"/>
      <c r="X1217" s="7">
        <v>3</v>
      </c>
      <c r="Y1217" s="7"/>
      <c r="Z1217" s="7"/>
      <c r="AA1217" s="7"/>
      <c r="AB1217" s="7">
        <f t="shared" si="93"/>
        <v>1</v>
      </c>
      <c r="AC1217" s="7">
        <f t="shared" si="90"/>
        <v>1</v>
      </c>
      <c r="AD1217" s="7">
        <v>1</v>
      </c>
      <c r="AE1217" s="7"/>
      <c r="AF1217" s="7" t="s">
        <v>40</v>
      </c>
      <c r="AG1217" s="7" t="s">
        <v>247</v>
      </c>
      <c r="AH1217" s="7"/>
      <c r="AI1217" s="7"/>
      <c r="AJ1217" s="7"/>
      <c r="AK1217" s="7"/>
      <c r="AL1217" s="9"/>
      <c r="AM1217" s="7" t="s">
        <v>71</v>
      </c>
      <c r="AN1217" s="7" t="s">
        <v>71</v>
      </c>
      <c r="AO1217" s="15" t="s">
        <v>2654</v>
      </c>
    </row>
    <row r="1218" spans="1:41" s="11" customFormat="1" x14ac:dyDescent="0.25">
      <c r="A1218" s="2">
        <v>1217</v>
      </c>
      <c r="B1218" s="7" t="s">
        <v>722</v>
      </c>
      <c r="C1218" s="7" t="s">
        <v>104</v>
      </c>
      <c r="D1218" s="7">
        <v>10</v>
      </c>
      <c r="E1218" s="7">
        <v>10</v>
      </c>
      <c r="F1218" s="8">
        <v>1</v>
      </c>
      <c r="G1218" s="8">
        <v>1</v>
      </c>
      <c r="H1218" s="7">
        <v>1</v>
      </c>
      <c r="I1218" s="7">
        <v>1</v>
      </c>
      <c r="J1218" s="9" t="s">
        <v>35</v>
      </c>
      <c r="K1218" s="7">
        <v>1</v>
      </c>
      <c r="L1218" s="7" t="s">
        <v>52</v>
      </c>
      <c r="M1218" s="7">
        <f t="shared" ref="M1218:M1281" si="94">IF(L1218="n",F1218,0)</f>
        <v>1</v>
      </c>
      <c r="N1218" s="9" t="s">
        <v>34</v>
      </c>
      <c r="O1218" s="7">
        <v>0</v>
      </c>
      <c r="P1218" s="9" t="s">
        <v>34</v>
      </c>
      <c r="Q1218" s="7" t="s">
        <v>38</v>
      </c>
      <c r="R1218" s="7" t="s">
        <v>38</v>
      </c>
      <c r="S1218" s="7"/>
      <c r="T1218" s="7"/>
      <c r="U1218" s="7"/>
      <c r="V1218" s="7"/>
      <c r="W1218" s="7"/>
      <c r="X1218" s="7">
        <v>3</v>
      </c>
      <c r="Y1218" s="7"/>
      <c r="Z1218" s="7"/>
      <c r="AA1218" s="7"/>
      <c r="AB1218" s="7">
        <f t="shared" si="93"/>
        <v>1</v>
      </c>
      <c r="AC1218" s="7">
        <f t="shared" ref="AC1218:AC1281" si="95">IF(L1218="n",AB1218,0)</f>
        <v>1</v>
      </c>
      <c r="AD1218" s="7"/>
      <c r="AE1218" s="7">
        <v>1</v>
      </c>
      <c r="AF1218" s="7" t="s">
        <v>40</v>
      </c>
      <c r="AG1218" s="7" t="s">
        <v>247</v>
      </c>
      <c r="AH1218" s="7"/>
      <c r="AI1218" s="7"/>
      <c r="AJ1218" s="7"/>
      <c r="AK1218" s="7"/>
      <c r="AL1218" s="9"/>
      <c r="AM1218" s="7" t="s">
        <v>71</v>
      </c>
      <c r="AN1218" s="7" t="s">
        <v>71</v>
      </c>
      <c r="AO1218" s="15" t="s">
        <v>2655</v>
      </c>
    </row>
    <row r="1219" spans="1:41" s="11" customFormat="1" x14ac:dyDescent="0.25">
      <c r="A1219" s="2">
        <v>1218</v>
      </c>
      <c r="B1219" s="7" t="s">
        <v>722</v>
      </c>
      <c r="C1219" s="7" t="s">
        <v>104</v>
      </c>
      <c r="D1219" s="7">
        <v>8</v>
      </c>
      <c r="E1219" s="7">
        <v>8</v>
      </c>
      <c r="F1219" s="8">
        <v>1</v>
      </c>
      <c r="G1219" s="8">
        <v>1</v>
      </c>
      <c r="H1219" s="7">
        <v>1</v>
      </c>
      <c r="I1219" s="7">
        <v>1</v>
      </c>
      <c r="J1219" s="9" t="s">
        <v>35</v>
      </c>
      <c r="K1219" s="7">
        <v>1</v>
      </c>
      <c r="L1219" s="7" t="s">
        <v>52</v>
      </c>
      <c r="M1219" s="7">
        <f t="shared" si="94"/>
        <v>1</v>
      </c>
      <c r="N1219" s="9" t="s">
        <v>36</v>
      </c>
      <c r="O1219" s="7">
        <v>0</v>
      </c>
      <c r="P1219" s="9" t="s">
        <v>33</v>
      </c>
      <c r="Q1219" s="7" t="s">
        <v>38</v>
      </c>
      <c r="R1219" s="7" t="s">
        <v>38</v>
      </c>
      <c r="S1219" s="7"/>
      <c r="T1219" s="7"/>
      <c r="U1219" s="7"/>
      <c r="V1219" s="7"/>
      <c r="W1219" s="7"/>
      <c r="X1219" s="7">
        <v>3</v>
      </c>
      <c r="Y1219" s="7"/>
      <c r="Z1219" s="7"/>
      <c r="AA1219" s="7"/>
      <c r="AB1219" s="7">
        <f t="shared" si="93"/>
        <v>1</v>
      </c>
      <c r="AC1219" s="7">
        <f t="shared" si="95"/>
        <v>1</v>
      </c>
      <c r="AD1219" s="7"/>
      <c r="AE1219" s="7">
        <v>1</v>
      </c>
      <c r="AF1219" s="7" t="s">
        <v>40</v>
      </c>
      <c r="AG1219" s="7"/>
      <c r="AH1219" s="7"/>
      <c r="AI1219" s="7"/>
      <c r="AJ1219" s="7"/>
      <c r="AK1219" s="7"/>
      <c r="AL1219" s="9"/>
      <c r="AM1219" s="7" t="s">
        <v>71</v>
      </c>
      <c r="AN1219" s="7" t="s">
        <v>71</v>
      </c>
      <c r="AO1219" s="15" t="s">
        <v>2655</v>
      </c>
    </row>
    <row r="1220" spans="1:41" s="11" customFormat="1" x14ac:dyDescent="0.25">
      <c r="A1220" s="2">
        <v>1219</v>
      </c>
      <c r="B1220" s="7" t="s">
        <v>722</v>
      </c>
      <c r="C1220" s="7" t="s">
        <v>115</v>
      </c>
      <c r="D1220" s="7" t="s">
        <v>1059</v>
      </c>
      <c r="E1220" s="7">
        <f>8+6+2</f>
        <v>16</v>
      </c>
      <c r="F1220" s="8">
        <v>5</v>
      </c>
      <c r="G1220" s="8">
        <v>5</v>
      </c>
      <c r="H1220" s="7" t="s">
        <v>345</v>
      </c>
      <c r="I1220" s="7">
        <v>5</v>
      </c>
      <c r="J1220" s="9" t="s">
        <v>35</v>
      </c>
      <c r="K1220" s="7">
        <v>1</v>
      </c>
      <c r="L1220" s="7" t="s">
        <v>52</v>
      </c>
      <c r="M1220" s="7">
        <f t="shared" si="94"/>
        <v>5</v>
      </c>
      <c r="N1220" s="9" t="s">
        <v>34</v>
      </c>
      <c r="O1220" s="7">
        <v>0</v>
      </c>
      <c r="P1220" s="9" t="s">
        <v>63</v>
      </c>
      <c r="Q1220" s="7"/>
      <c r="R1220" s="7" t="s">
        <v>38</v>
      </c>
      <c r="S1220" s="10" t="s">
        <v>2098</v>
      </c>
      <c r="T1220" s="7"/>
      <c r="U1220" s="7"/>
      <c r="V1220" s="7"/>
      <c r="W1220" s="7"/>
      <c r="X1220" s="7"/>
      <c r="Y1220" s="7"/>
      <c r="Z1220" s="7"/>
      <c r="AA1220" s="7"/>
      <c r="AB1220" s="7">
        <v>0.33333333333333298</v>
      </c>
      <c r="AC1220" s="7">
        <f t="shared" si="95"/>
        <v>0.33333333333333298</v>
      </c>
      <c r="AD1220" s="7">
        <v>5</v>
      </c>
      <c r="AE1220" s="7"/>
      <c r="AF1220" s="7" t="s">
        <v>40</v>
      </c>
      <c r="AG1220" s="7" t="s">
        <v>1060</v>
      </c>
      <c r="AH1220" s="7"/>
      <c r="AI1220" s="7"/>
      <c r="AJ1220" s="7"/>
      <c r="AK1220" s="7"/>
      <c r="AL1220" s="9"/>
      <c r="AM1220" s="7" t="s">
        <v>71</v>
      </c>
      <c r="AN1220" s="7" t="s">
        <v>71</v>
      </c>
      <c r="AO1220" s="15" t="s">
        <v>2656</v>
      </c>
    </row>
    <row r="1221" spans="1:41" s="11" customFormat="1" x14ac:dyDescent="0.25">
      <c r="A1221" s="2">
        <v>1220</v>
      </c>
      <c r="B1221" s="7" t="s">
        <v>722</v>
      </c>
      <c r="C1221" s="7" t="s">
        <v>115</v>
      </c>
      <c r="D1221" s="7" t="s">
        <v>746</v>
      </c>
      <c r="E1221" s="7">
        <v>7</v>
      </c>
      <c r="F1221" s="8">
        <v>2</v>
      </c>
      <c r="G1221" s="8">
        <v>2</v>
      </c>
      <c r="H1221" s="7" t="s">
        <v>87</v>
      </c>
      <c r="I1221" s="7">
        <v>2</v>
      </c>
      <c r="J1221" s="9" t="s">
        <v>35</v>
      </c>
      <c r="K1221" s="7">
        <v>1</v>
      </c>
      <c r="L1221" s="7" t="s">
        <v>52</v>
      </c>
      <c r="M1221" s="7">
        <f t="shared" si="94"/>
        <v>2</v>
      </c>
      <c r="N1221" s="9" t="s">
        <v>34</v>
      </c>
      <c r="O1221" s="7">
        <v>0</v>
      </c>
      <c r="P1221" s="9" t="s">
        <v>37</v>
      </c>
      <c r="Q1221" s="7"/>
      <c r="R1221" s="7" t="s">
        <v>38</v>
      </c>
      <c r="S1221" s="10" t="s">
        <v>2098</v>
      </c>
      <c r="T1221" s="7"/>
      <c r="U1221" s="7"/>
      <c r="V1221" s="7"/>
      <c r="W1221" s="7"/>
      <c r="X1221" s="7"/>
      <c r="Y1221" s="7"/>
      <c r="Z1221" s="7"/>
      <c r="AA1221" s="7"/>
      <c r="AB1221" s="7">
        <v>0.33333333333333298</v>
      </c>
      <c r="AC1221" s="7">
        <f t="shared" si="95"/>
        <v>0.33333333333333298</v>
      </c>
      <c r="AD1221" s="7">
        <v>2</v>
      </c>
      <c r="AE1221" s="7"/>
      <c r="AF1221" s="7" t="s">
        <v>40</v>
      </c>
      <c r="AG1221" s="7" t="s">
        <v>1061</v>
      </c>
      <c r="AH1221" s="7"/>
      <c r="AI1221" s="7"/>
      <c r="AJ1221" s="7"/>
      <c r="AK1221" s="7"/>
      <c r="AL1221" s="9"/>
      <c r="AM1221" s="7" t="s">
        <v>71</v>
      </c>
      <c r="AN1221" s="7" t="s">
        <v>71</v>
      </c>
      <c r="AO1221" s="15" t="s">
        <v>2657</v>
      </c>
    </row>
    <row r="1222" spans="1:41" s="11" customFormat="1" x14ac:dyDescent="0.25">
      <c r="A1222" s="2">
        <v>1221</v>
      </c>
      <c r="B1222" s="7" t="s">
        <v>722</v>
      </c>
      <c r="C1222" s="7" t="s">
        <v>115</v>
      </c>
      <c r="D1222" s="7" t="s">
        <v>1062</v>
      </c>
      <c r="E1222" s="7">
        <f>12+7+3</f>
        <v>22</v>
      </c>
      <c r="F1222" s="8">
        <v>4</v>
      </c>
      <c r="G1222" s="8">
        <v>5</v>
      </c>
      <c r="H1222" s="7" t="s">
        <v>171</v>
      </c>
      <c r="I1222" s="7">
        <v>5</v>
      </c>
      <c r="J1222" s="9" t="s">
        <v>35</v>
      </c>
      <c r="K1222" s="7">
        <v>2</v>
      </c>
      <c r="L1222" s="7" t="s">
        <v>52</v>
      </c>
      <c r="M1222" s="7">
        <f t="shared" si="94"/>
        <v>4</v>
      </c>
      <c r="N1222" s="9" t="s">
        <v>34</v>
      </c>
      <c r="O1222" s="7">
        <v>0</v>
      </c>
      <c r="P1222" s="9" t="s">
        <v>63</v>
      </c>
      <c r="Q1222" s="7"/>
      <c r="R1222" s="7" t="s">
        <v>38</v>
      </c>
      <c r="S1222" s="10" t="s">
        <v>2099</v>
      </c>
      <c r="T1222" s="7"/>
      <c r="U1222" s="7"/>
      <c r="V1222" s="7"/>
      <c r="W1222" s="7"/>
      <c r="X1222" s="7"/>
      <c r="Y1222" s="7"/>
      <c r="Z1222" s="7"/>
      <c r="AA1222" s="7"/>
      <c r="AB1222" s="7">
        <v>0.33333333333333298</v>
      </c>
      <c r="AC1222" s="7">
        <f t="shared" si="95"/>
        <v>0.33333333333333298</v>
      </c>
      <c r="AD1222" s="7">
        <v>4</v>
      </c>
      <c r="AE1222" s="7"/>
      <c r="AF1222" s="7" t="s">
        <v>40</v>
      </c>
      <c r="AG1222" s="7" t="s">
        <v>1063</v>
      </c>
      <c r="AH1222" s="7"/>
      <c r="AI1222" s="7"/>
      <c r="AJ1222" s="7"/>
      <c r="AK1222" s="7"/>
      <c r="AL1222" s="9"/>
      <c r="AM1222" s="7" t="s">
        <v>71</v>
      </c>
      <c r="AN1222" s="7" t="s">
        <v>71</v>
      </c>
      <c r="AO1222" s="15" t="s">
        <v>2658</v>
      </c>
    </row>
    <row r="1223" spans="1:41" s="11" customFormat="1" x14ac:dyDescent="0.25">
      <c r="A1223" s="2">
        <v>1222</v>
      </c>
      <c r="B1223" s="7" t="s">
        <v>722</v>
      </c>
      <c r="C1223" s="7" t="s">
        <v>115</v>
      </c>
      <c r="D1223" s="7" t="s">
        <v>203</v>
      </c>
      <c r="E1223" s="7">
        <v>6</v>
      </c>
      <c r="F1223" s="8">
        <v>2</v>
      </c>
      <c r="G1223" s="8">
        <v>2</v>
      </c>
      <c r="H1223" s="7" t="s">
        <v>87</v>
      </c>
      <c r="I1223" s="7">
        <v>2</v>
      </c>
      <c r="J1223" s="9" t="s">
        <v>35</v>
      </c>
      <c r="K1223" s="7">
        <v>2</v>
      </c>
      <c r="L1223" s="7" t="s">
        <v>52</v>
      </c>
      <c r="M1223" s="7">
        <f t="shared" si="94"/>
        <v>2</v>
      </c>
      <c r="N1223" s="9" t="s">
        <v>34</v>
      </c>
      <c r="O1223" s="7">
        <v>0</v>
      </c>
      <c r="P1223" s="9" t="s">
        <v>37</v>
      </c>
      <c r="Q1223" s="7"/>
      <c r="R1223" s="7" t="s">
        <v>38</v>
      </c>
      <c r="S1223" s="10" t="s">
        <v>2100</v>
      </c>
      <c r="T1223" s="7"/>
      <c r="U1223" s="7"/>
      <c r="V1223" s="7"/>
      <c r="W1223" s="7"/>
      <c r="X1223" s="7"/>
      <c r="Y1223" s="7"/>
      <c r="Z1223" s="7"/>
      <c r="AA1223" s="7"/>
      <c r="AB1223" s="7">
        <v>0.33333333333333298</v>
      </c>
      <c r="AC1223" s="7">
        <f t="shared" si="95"/>
        <v>0.33333333333333298</v>
      </c>
      <c r="AD1223" s="7">
        <v>2</v>
      </c>
      <c r="AE1223" s="7"/>
      <c r="AF1223" s="7" t="s">
        <v>40</v>
      </c>
      <c r="AG1223" s="7" t="s">
        <v>1064</v>
      </c>
      <c r="AH1223" s="7"/>
      <c r="AI1223" s="7"/>
      <c r="AJ1223" s="7"/>
      <c r="AK1223" s="7"/>
      <c r="AL1223" s="9"/>
      <c r="AM1223" s="7" t="s">
        <v>71</v>
      </c>
      <c r="AN1223" s="7" t="s">
        <v>71</v>
      </c>
      <c r="AO1223" s="15" t="s">
        <v>2657</v>
      </c>
    </row>
    <row r="1224" spans="1:41" s="11" customFormat="1" x14ac:dyDescent="0.25">
      <c r="A1224" s="2">
        <v>1223</v>
      </c>
      <c r="B1224" s="7" t="s">
        <v>722</v>
      </c>
      <c r="C1224" s="7" t="s">
        <v>100</v>
      </c>
      <c r="D1224" s="7">
        <v>35</v>
      </c>
      <c r="E1224" s="7">
        <v>35</v>
      </c>
      <c r="F1224" s="8">
        <v>1</v>
      </c>
      <c r="G1224" s="8">
        <v>1</v>
      </c>
      <c r="H1224" s="7">
        <v>1</v>
      </c>
      <c r="I1224" s="7">
        <v>1</v>
      </c>
      <c r="J1224" s="9" t="s">
        <v>353</v>
      </c>
      <c r="K1224" s="7"/>
      <c r="L1224" s="7" t="s">
        <v>38</v>
      </c>
      <c r="M1224" s="7">
        <f t="shared" si="94"/>
        <v>0</v>
      </c>
      <c r="N1224" s="9"/>
      <c r="O1224" s="7"/>
      <c r="P1224" s="9"/>
      <c r="Q1224" s="7"/>
      <c r="R1224" s="7"/>
      <c r="S1224" s="7"/>
      <c r="T1224" s="7"/>
      <c r="U1224" s="7"/>
      <c r="V1224" s="7"/>
      <c r="W1224" s="7"/>
      <c r="X1224" s="7">
        <v>3</v>
      </c>
      <c r="Y1224" s="7"/>
      <c r="Z1224" s="7"/>
      <c r="AA1224" s="7"/>
      <c r="AB1224" s="7">
        <f t="shared" ref="AB1224:AB1233" si="96">(U1224+X1224+Z1224)/3</f>
        <v>1</v>
      </c>
      <c r="AC1224" s="7">
        <f t="shared" si="95"/>
        <v>0</v>
      </c>
      <c r="AD1224" s="7"/>
      <c r="AE1224" s="7"/>
      <c r="AF1224" s="7"/>
      <c r="AG1224" s="7"/>
      <c r="AH1224" s="7"/>
      <c r="AI1224" s="7"/>
      <c r="AJ1224" s="7"/>
      <c r="AK1224" s="10" t="s">
        <v>2477</v>
      </c>
      <c r="AL1224" s="9"/>
      <c r="AM1224" s="7" t="s">
        <v>71</v>
      </c>
      <c r="AN1224" s="7" t="s">
        <v>71</v>
      </c>
      <c r="AO1224" s="12"/>
    </row>
    <row r="1225" spans="1:41" s="11" customFormat="1" ht="24" x14ac:dyDescent="0.25">
      <c r="A1225" s="2">
        <v>1224</v>
      </c>
      <c r="B1225" s="7" t="s">
        <v>722</v>
      </c>
      <c r="C1225" s="7" t="s">
        <v>104</v>
      </c>
      <c r="D1225" s="7" t="s">
        <v>1065</v>
      </c>
      <c r="E1225" s="7">
        <f>31+26+18</f>
        <v>75</v>
      </c>
      <c r="F1225" s="8">
        <v>1</v>
      </c>
      <c r="G1225" s="8">
        <v>3</v>
      </c>
      <c r="H1225" s="7">
        <v>3</v>
      </c>
      <c r="I1225" s="7">
        <v>3</v>
      </c>
      <c r="J1225" s="9" t="s">
        <v>219</v>
      </c>
      <c r="K1225" s="7">
        <v>1</v>
      </c>
      <c r="L1225" s="7" t="s">
        <v>52</v>
      </c>
      <c r="M1225" s="7">
        <f t="shared" si="94"/>
        <v>1</v>
      </c>
      <c r="N1225" s="9" t="s">
        <v>34</v>
      </c>
      <c r="O1225" s="7">
        <v>0</v>
      </c>
      <c r="P1225" s="9" t="s">
        <v>34</v>
      </c>
      <c r="Q1225" s="7" t="s">
        <v>38</v>
      </c>
      <c r="R1225" s="7" t="s">
        <v>38</v>
      </c>
      <c r="S1225" s="10" t="s">
        <v>2101</v>
      </c>
      <c r="T1225" s="7"/>
      <c r="U1225" s="7"/>
      <c r="V1225" s="7"/>
      <c r="W1225" s="7"/>
      <c r="X1225" s="7">
        <v>3</v>
      </c>
      <c r="Y1225" s="7"/>
      <c r="Z1225" s="7"/>
      <c r="AA1225" s="7"/>
      <c r="AB1225" s="7">
        <f t="shared" si="96"/>
        <v>1</v>
      </c>
      <c r="AC1225" s="7">
        <f t="shared" si="95"/>
        <v>1</v>
      </c>
      <c r="AD1225" s="7"/>
      <c r="AE1225" s="7">
        <v>1</v>
      </c>
      <c r="AF1225" s="7" t="s">
        <v>155</v>
      </c>
      <c r="AG1225" s="7" t="s">
        <v>1066</v>
      </c>
      <c r="AH1225" s="7"/>
      <c r="AI1225" s="7"/>
      <c r="AJ1225" s="7"/>
      <c r="AK1225" s="7"/>
      <c r="AL1225" s="9"/>
      <c r="AM1225" s="7" t="s">
        <v>71</v>
      </c>
      <c r="AN1225" s="7" t="s">
        <v>71</v>
      </c>
      <c r="AO1225" s="15" t="s">
        <v>2642</v>
      </c>
    </row>
    <row r="1226" spans="1:41" s="11" customFormat="1" x14ac:dyDescent="0.25">
      <c r="A1226" s="2">
        <v>1225</v>
      </c>
      <c r="B1226" s="7" t="s">
        <v>722</v>
      </c>
      <c r="C1226" s="7" t="s">
        <v>50</v>
      </c>
      <c r="D1226" s="7">
        <v>19</v>
      </c>
      <c r="E1226" s="7">
        <v>19</v>
      </c>
      <c r="F1226" s="8">
        <v>1</v>
      </c>
      <c r="G1226" s="8">
        <v>1</v>
      </c>
      <c r="H1226" s="7">
        <v>1</v>
      </c>
      <c r="I1226" s="7">
        <v>1</v>
      </c>
      <c r="J1226" s="9" t="s">
        <v>176</v>
      </c>
      <c r="K1226" s="7">
        <v>3</v>
      </c>
      <c r="L1226" s="7" t="s">
        <v>52</v>
      </c>
      <c r="M1226" s="7">
        <f t="shared" si="94"/>
        <v>1</v>
      </c>
      <c r="N1226" s="9" t="s">
        <v>177</v>
      </c>
      <c r="O1226" s="7">
        <v>0</v>
      </c>
      <c r="P1226" s="9" t="s">
        <v>63</v>
      </c>
      <c r="Q1226" s="7" t="s">
        <v>38</v>
      </c>
      <c r="R1226" s="7"/>
      <c r="S1226" s="10" t="s">
        <v>2102</v>
      </c>
      <c r="T1226" s="7"/>
      <c r="U1226" s="7">
        <v>0</v>
      </c>
      <c r="V1226" s="7"/>
      <c r="W1226" s="7"/>
      <c r="X1226" s="7">
        <v>10</v>
      </c>
      <c r="Y1226" s="7">
        <v>10</v>
      </c>
      <c r="Z1226" s="7">
        <v>5</v>
      </c>
      <c r="AA1226" s="7"/>
      <c r="AB1226" s="7">
        <f t="shared" si="96"/>
        <v>5</v>
      </c>
      <c r="AC1226" s="7">
        <f t="shared" si="95"/>
        <v>5</v>
      </c>
      <c r="AD1226" s="7"/>
      <c r="AE1226" s="7"/>
      <c r="AF1226" s="7"/>
      <c r="AG1226" s="7"/>
      <c r="AH1226" s="7"/>
      <c r="AI1226" s="7"/>
      <c r="AJ1226" s="7"/>
      <c r="AK1226" s="7"/>
      <c r="AL1226" s="9"/>
      <c r="AM1226" s="7" t="s">
        <v>71</v>
      </c>
      <c r="AN1226" s="7" t="s">
        <v>71</v>
      </c>
      <c r="AO1226" s="15" t="s">
        <v>2631</v>
      </c>
    </row>
    <row r="1227" spans="1:41" s="11" customFormat="1" ht="24" x14ac:dyDescent="0.25">
      <c r="A1227" s="2">
        <v>1226</v>
      </c>
      <c r="B1227" s="7" t="s">
        <v>722</v>
      </c>
      <c r="C1227" s="7" t="s">
        <v>245</v>
      </c>
      <c r="D1227" s="7">
        <v>32</v>
      </c>
      <c r="E1227" s="7">
        <v>32</v>
      </c>
      <c r="F1227" s="8">
        <v>1</v>
      </c>
      <c r="G1227" s="8">
        <v>1</v>
      </c>
      <c r="H1227" s="7">
        <v>1</v>
      </c>
      <c r="I1227" s="7">
        <v>1</v>
      </c>
      <c r="J1227" s="9" t="s">
        <v>176</v>
      </c>
      <c r="K1227" s="7">
        <v>2</v>
      </c>
      <c r="L1227" s="7" t="s">
        <v>52</v>
      </c>
      <c r="M1227" s="7">
        <f t="shared" si="94"/>
        <v>1</v>
      </c>
      <c r="N1227" s="9" t="s">
        <v>177</v>
      </c>
      <c r="O1227" s="7">
        <v>0</v>
      </c>
      <c r="P1227" s="9" t="s">
        <v>63</v>
      </c>
      <c r="Q1227" s="7" t="s">
        <v>38</v>
      </c>
      <c r="R1227" s="7" t="s">
        <v>38</v>
      </c>
      <c r="S1227" s="10" t="s">
        <v>1067</v>
      </c>
      <c r="T1227" s="7">
        <v>12</v>
      </c>
      <c r="U1227" s="7">
        <v>12</v>
      </c>
      <c r="V1227" s="7">
        <v>160</v>
      </c>
      <c r="W1227" s="7" t="s">
        <v>79</v>
      </c>
      <c r="X1227" s="7"/>
      <c r="Y1227" s="7"/>
      <c r="Z1227" s="7"/>
      <c r="AA1227" s="7"/>
      <c r="AB1227" s="7">
        <f t="shared" si="96"/>
        <v>4</v>
      </c>
      <c r="AC1227" s="7">
        <f t="shared" si="95"/>
        <v>4</v>
      </c>
      <c r="AD1227" s="7"/>
      <c r="AE1227" s="7">
        <v>1</v>
      </c>
      <c r="AF1227" s="7" t="s">
        <v>40</v>
      </c>
      <c r="AG1227" s="7" t="s">
        <v>1068</v>
      </c>
      <c r="AH1227" s="7"/>
      <c r="AI1227" s="7"/>
      <c r="AJ1227" s="7"/>
      <c r="AK1227" s="7"/>
      <c r="AL1227" s="9"/>
      <c r="AM1227" s="7" t="s">
        <v>650</v>
      </c>
      <c r="AN1227" s="7" t="s">
        <v>2848</v>
      </c>
      <c r="AO1227" s="15" t="s">
        <v>2659</v>
      </c>
    </row>
    <row r="1228" spans="1:41" s="11" customFormat="1" x14ac:dyDescent="0.25">
      <c r="A1228" s="2">
        <v>1227</v>
      </c>
      <c r="B1228" s="7" t="s">
        <v>722</v>
      </c>
      <c r="C1228" s="7" t="s">
        <v>50</v>
      </c>
      <c r="D1228" s="7" t="s">
        <v>195</v>
      </c>
      <c r="E1228" s="7">
        <v>8</v>
      </c>
      <c r="F1228" s="8">
        <v>1</v>
      </c>
      <c r="G1228" s="8">
        <v>2</v>
      </c>
      <c r="H1228" s="7">
        <v>2</v>
      </c>
      <c r="I1228" s="7">
        <v>2</v>
      </c>
      <c r="J1228" s="9" t="s">
        <v>176</v>
      </c>
      <c r="K1228" s="7">
        <v>2</v>
      </c>
      <c r="L1228" s="7" t="s">
        <v>52</v>
      </c>
      <c r="M1228" s="7">
        <f t="shared" si="94"/>
        <v>1</v>
      </c>
      <c r="N1228" s="9" t="s">
        <v>177</v>
      </c>
      <c r="O1228" s="7">
        <v>0</v>
      </c>
      <c r="P1228" s="9" t="s">
        <v>63</v>
      </c>
      <c r="Q1228" s="7" t="s">
        <v>38</v>
      </c>
      <c r="R1228" s="7" t="s">
        <v>38</v>
      </c>
      <c r="S1228" s="10" t="s">
        <v>2103</v>
      </c>
      <c r="T1228" s="7"/>
      <c r="U1228" s="7"/>
      <c r="V1228" s="7"/>
      <c r="W1228" s="7"/>
      <c r="X1228" s="7"/>
      <c r="Y1228" s="7">
        <v>25</v>
      </c>
      <c r="Z1228" s="7">
        <v>25</v>
      </c>
      <c r="AA1228" s="7">
        <v>70</v>
      </c>
      <c r="AB1228" s="7">
        <f t="shared" si="96"/>
        <v>8.3333333333333339</v>
      </c>
      <c r="AC1228" s="7">
        <f t="shared" si="95"/>
        <v>8.3333333333333339</v>
      </c>
      <c r="AD1228" s="7"/>
      <c r="AE1228" s="7"/>
      <c r="AF1228" s="7"/>
      <c r="AG1228" s="7"/>
      <c r="AH1228" s="7"/>
      <c r="AI1228" s="7"/>
      <c r="AJ1228" s="10" t="s">
        <v>2342</v>
      </c>
      <c r="AK1228" s="7"/>
      <c r="AL1228" s="9"/>
      <c r="AM1228" s="7" t="s">
        <v>582</v>
      </c>
      <c r="AN1228" s="7" t="s">
        <v>2851</v>
      </c>
      <c r="AO1228" s="15" t="s">
        <v>2660</v>
      </c>
    </row>
    <row r="1229" spans="1:41" s="11" customFormat="1" x14ac:dyDescent="0.25">
      <c r="A1229" s="2">
        <v>1228</v>
      </c>
      <c r="B1229" s="7" t="s">
        <v>722</v>
      </c>
      <c r="C1229" s="7" t="s">
        <v>78</v>
      </c>
      <c r="D1229" s="7">
        <v>8</v>
      </c>
      <c r="E1229" s="7">
        <v>8</v>
      </c>
      <c r="F1229" s="8">
        <v>1</v>
      </c>
      <c r="G1229" s="8">
        <v>2</v>
      </c>
      <c r="H1229" s="7">
        <v>2</v>
      </c>
      <c r="I1229" s="7">
        <v>2</v>
      </c>
      <c r="J1229" s="9" t="s">
        <v>176</v>
      </c>
      <c r="K1229" s="7">
        <v>2</v>
      </c>
      <c r="L1229" s="7" t="s">
        <v>52</v>
      </c>
      <c r="M1229" s="7">
        <f t="shared" si="94"/>
        <v>1</v>
      </c>
      <c r="N1229" s="9" t="s">
        <v>177</v>
      </c>
      <c r="O1229" s="7">
        <v>0</v>
      </c>
      <c r="P1229" s="9" t="s">
        <v>63</v>
      </c>
      <c r="Q1229" s="7" t="s">
        <v>38</v>
      </c>
      <c r="R1229" s="7" t="s">
        <v>38</v>
      </c>
      <c r="S1229" s="10" t="s">
        <v>1067</v>
      </c>
      <c r="T1229" s="7">
        <v>20</v>
      </c>
      <c r="U1229" s="7">
        <v>20</v>
      </c>
      <c r="V1229" s="7">
        <v>60</v>
      </c>
      <c r="W1229" s="7" t="s">
        <v>79</v>
      </c>
      <c r="X1229" s="7"/>
      <c r="Y1229" s="7"/>
      <c r="Z1229" s="7"/>
      <c r="AA1229" s="7"/>
      <c r="AB1229" s="7">
        <f t="shared" si="96"/>
        <v>6.666666666666667</v>
      </c>
      <c r="AC1229" s="7">
        <f t="shared" si="95"/>
        <v>6.666666666666667</v>
      </c>
      <c r="AD1229" s="7"/>
      <c r="AE1229" s="7"/>
      <c r="AF1229" s="7"/>
      <c r="AG1229" s="7"/>
      <c r="AH1229" s="7"/>
      <c r="AI1229" s="7"/>
      <c r="AJ1229" s="7"/>
      <c r="AK1229" s="10" t="s">
        <v>2478</v>
      </c>
      <c r="AL1229" s="9"/>
      <c r="AM1229" s="7" t="s">
        <v>582</v>
      </c>
      <c r="AN1229" s="7" t="s">
        <v>2851</v>
      </c>
      <c r="AO1229" s="15" t="s">
        <v>2660</v>
      </c>
    </row>
    <row r="1230" spans="1:41" s="11" customFormat="1" x14ac:dyDescent="0.25">
      <c r="A1230" s="2">
        <v>1229</v>
      </c>
      <c r="B1230" s="7" t="s">
        <v>722</v>
      </c>
      <c r="C1230" s="7" t="s">
        <v>78</v>
      </c>
      <c r="D1230" s="7">
        <v>3</v>
      </c>
      <c r="E1230" s="7">
        <v>3</v>
      </c>
      <c r="F1230" s="8">
        <v>1</v>
      </c>
      <c r="G1230" s="8">
        <v>1</v>
      </c>
      <c r="H1230" s="7">
        <v>1</v>
      </c>
      <c r="I1230" s="7">
        <v>1</v>
      </c>
      <c r="J1230" s="9" t="s">
        <v>176</v>
      </c>
      <c r="K1230" s="7">
        <v>2</v>
      </c>
      <c r="L1230" s="7" t="s">
        <v>52</v>
      </c>
      <c r="M1230" s="7">
        <f t="shared" si="94"/>
        <v>1</v>
      </c>
      <c r="N1230" s="9" t="s">
        <v>109</v>
      </c>
      <c r="O1230" s="7">
        <v>0</v>
      </c>
      <c r="P1230" s="9" t="s">
        <v>63</v>
      </c>
      <c r="Q1230" s="7" t="s">
        <v>38</v>
      </c>
      <c r="R1230" s="7" t="s">
        <v>38</v>
      </c>
      <c r="S1230" s="10" t="s">
        <v>1067</v>
      </c>
      <c r="T1230" s="7" t="s">
        <v>92</v>
      </c>
      <c r="U1230" s="7">
        <v>3</v>
      </c>
      <c r="V1230" s="7" t="s">
        <v>199</v>
      </c>
      <c r="W1230" s="7" t="s">
        <v>79</v>
      </c>
      <c r="X1230" s="7"/>
      <c r="Y1230" s="7"/>
      <c r="Z1230" s="7"/>
      <c r="AA1230" s="7"/>
      <c r="AB1230" s="7">
        <f t="shared" si="96"/>
        <v>1</v>
      </c>
      <c r="AC1230" s="7">
        <f t="shared" si="95"/>
        <v>1</v>
      </c>
      <c r="AD1230" s="7"/>
      <c r="AE1230" s="7"/>
      <c r="AF1230" s="7"/>
      <c r="AG1230" s="7"/>
      <c r="AH1230" s="7"/>
      <c r="AI1230" s="7"/>
      <c r="AJ1230" s="7"/>
      <c r="AK1230" s="7"/>
      <c r="AL1230" s="9"/>
      <c r="AM1230" s="7" t="s">
        <v>582</v>
      </c>
      <c r="AN1230" s="7" t="s">
        <v>2851</v>
      </c>
      <c r="AO1230" s="15" t="s">
        <v>2601</v>
      </c>
    </row>
    <row r="1231" spans="1:41" s="11" customFormat="1" x14ac:dyDescent="0.25">
      <c r="A1231" s="2">
        <v>1230</v>
      </c>
      <c r="B1231" s="7" t="s">
        <v>722</v>
      </c>
      <c r="C1231" s="7" t="s">
        <v>78</v>
      </c>
      <c r="D1231" s="7">
        <v>1</v>
      </c>
      <c r="E1231" s="7">
        <v>1</v>
      </c>
      <c r="F1231" s="8">
        <v>1</v>
      </c>
      <c r="G1231" s="8">
        <v>1</v>
      </c>
      <c r="H1231" s="7">
        <v>1</v>
      </c>
      <c r="I1231" s="7">
        <v>1</v>
      </c>
      <c r="J1231" s="9" t="s">
        <v>176</v>
      </c>
      <c r="K1231" s="7">
        <v>2</v>
      </c>
      <c r="L1231" s="7" t="s">
        <v>52</v>
      </c>
      <c r="M1231" s="7">
        <f t="shared" si="94"/>
        <v>1</v>
      </c>
      <c r="N1231" s="9" t="s">
        <v>177</v>
      </c>
      <c r="O1231" s="7">
        <v>0</v>
      </c>
      <c r="P1231" s="9" t="s">
        <v>63</v>
      </c>
      <c r="Q1231" s="7" t="s">
        <v>38</v>
      </c>
      <c r="R1231" s="7" t="s">
        <v>38</v>
      </c>
      <c r="S1231" s="10" t="s">
        <v>1067</v>
      </c>
      <c r="T1231" s="7">
        <v>7</v>
      </c>
      <c r="U1231" s="7">
        <v>7</v>
      </c>
      <c r="V1231" s="7">
        <v>80</v>
      </c>
      <c r="W1231" s="7" t="s">
        <v>79</v>
      </c>
      <c r="X1231" s="7"/>
      <c r="Y1231" s="7"/>
      <c r="Z1231" s="7"/>
      <c r="AA1231" s="7"/>
      <c r="AB1231" s="7">
        <f t="shared" si="96"/>
        <v>2.3333333333333335</v>
      </c>
      <c r="AC1231" s="7">
        <f t="shared" si="95"/>
        <v>2.3333333333333335</v>
      </c>
      <c r="AD1231" s="7"/>
      <c r="AE1231" s="7"/>
      <c r="AF1231" s="7"/>
      <c r="AG1231" s="7"/>
      <c r="AH1231" s="7"/>
      <c r="AI1231" s="7"/>
      <c r="AJ1231" s="7"/>
      <c r="AK1231" s="7"/>
      <c r="AL1231" s="9"/>
      <c r="AM1231" s="7" t="s">
        <v>582</v>
      </c>
      <c r="AN1231" s="7" t="s">
        <v>2851</v>
      </c>
      <c r="AO1231" s="15" t="s">
        <v>2660</v>
      </c>
    </row>
    <row r="1232" spans="1:41" s="11" customFormat="1" ht="24" x14ac:dyDescent="0.25">
      <c r="A1232" s="2">
        <v>1231</v>
      </c>
      <c r="B1232" s="7" t="s">
        <v>722</v>
      </c>
      <c r="C1232" s="7" t="s">
        <v>50</v>
      </c>
      <c r="D1232" s="7">
        <v>15</v>
      </c>
      <c r="E1232" s="7">
        <v>15</v>
      </c>
      <c r="F1232" s="8">
        <v>1</v>
      </c>
      <c r="G1232" s="8">
        <v>1</v>
      </c>
      <c r="H1232" s="7">
        <v>1</v>
      </c>
      <c r="I1232" s="7">
        <v>1</v>
      </c>
      <c r="J1232" s="9" t="s">
        <v>176</v>
      </c>
      <c r="K1232" s="7">
        <v>10</v>
      </c>
      <c r="L1232" s="7" t="s">
        <v>52</v>
      </c>
      <c r="M1232" s="7">
        <f t="shared" si="94"/>
        <v>1</v>
      </c>
      <c r="N1232" s="9" t="s">
        <v>177</v>
      </c>
      <c r="O1232" s="7">
        <v>0</v>
      </c>
      <c r="P1232" s="9" t="s">
        <v>63</v>
      </c>
      <c r="Q1232" s="7" t="s">
        <v>38</v>
      </c>
      <c r="R1232" s="7" t="s">
        <v>38</v>
      </c>
      <c r="S1232" s="7" t="s">
        <v>1069</v>
      </c>
      <c r="T1232" s="7"/>
      <c r="U1232" s="7"/>
      <c r="V1232" s="7"/>
      <c r="W1232" s="7"/>
      <c r="X1232" s="7"/>
      <c r="Y1232" s="7">
        <v>40</v>
      </c>
      <c r="Z1232" s="7">
        <v>40</v>
      </c>
      <c r="AA1232" s="7">
        <v>40</v>
      </c>
      <c r="AB1232" s="7">
        <f t="shared" si="96"/>
        <v>13.333333333333334</v>
      </c>
      <c r="AC1232" s="7">
        <f t="shared" si="95"/>
        <v>13.333333333333334</v>
      </c>
      <c r="AD1232" s="7"/>
      <c r="AE1232" s="7"/>
      <c r="AF1232" s="7"/>
      <c r="AG1232" s="7"/>
      <c r="AH1232" s="7"/>
      <c r="AI1232" s="7"/>
      <c r="AJ1232" s="10" t="s">
        <v>2394</v>
      </c>
      <c r="AK1232" s="7"/>
      <c r="AL1232" s="9"/>
      <c r="AM1232" s="7" t="s">
        <v>582</v>
      </c>
      <c r="AN1232" s="7" t="s">
        <v>2851</v>
      </c>
      <c r="AO1232" s="15" t="s">
        <v>2642</v>
      </c>
    </row>
    <row r="1233" spans="1:41" s="11" customFormat="1" ht="24" x14ac:dyDescent="0.25">
      <c r="A1233" s="2">
        <v>1232</v>
      </c>
      <c r="B1233" s="7" t="s">
        <v>722</v>
      </c>
      <c r="C1233" s="7" t="s">
        <v>78</v>
      </c>
      <c r="D1233" s="7" t="s">
        <v>110</v>
      </c>
      <c r="E1233" s="7">
        <v>7</v>
      </c>
      <c r="F1233" s="8">
        <v>1</v>
      </c>
      <c r="G1233" s="8">
        <v>2</v>
      </c>
      <c r="H1233" s="7" t="s">
        <v>87</v>
      </c>
      <c r="I1233" s="7">
        <v>2</v>
      </c>
      <c r="J1233" s="9" t="s">
        <v>176</v>
      </c>
      <c r="K1233" s="7">
        <v>10</v>
      </c>
      <c r="L1233" s="7" t="s">
        <v>52</v>
      </c>
      <c r="M1233" s="7">
        <f t="shared" si="94"/>
        <v>1</v>
      </c>
      <c r="N1233" s="9" t="s">
        <v>177</v>
      </c>
      <c r="O1233" s="7">
        <v>0</v>
      </c>
      <c r="P1233" s="9" t="s">
        <v>63</v>
      </c>
      <c r="Q1233" s="7" t="s">
        <v>38</v>
      </c>
      <c r="R1233" s="7" t="s">
        <v>38</v>
      </c>
      <c r="S1233" s="10" t="s">
        <v>2104</v>
      </c>
      <c r="T1233" s="7" t="s">
        <v>1070</v>
      </c>
      <c r="U1233" s="7">
        <v>42</v>
      </c>
      <c r="V1233" s="7">
        <v>50</v>
      </c>
      <c r="W1233" s="7" t="s">
        <v>83</v>
      </c>
      <c r="X1233" s="7"/>
      <c r="Y1233" s="7"/>
      <c r="Z1233" s="7"/>
      <c r="AA1233" s="7"/>
      <c r="AB1233" s="7">
        <f t="shared" si="96"/>
        <v>14</v>
      </c>
      <c r="AC1233" s="7">
        <f t="shared" si="95"/>
        <v>14</v>
      </c>
      <c r="AD1233" s="7"/>
      <c r="AE1233" s="7"/>
      <c r="AF1233" s="7"/>
      <c r="AG1233" s="7"/>
      <c r="AH1233" s="7"/>
      <c r="AI1233" s="7"/>
      <c r="AJ1233" s="7"/>
      <c r="AK1233" s="10" t="s">
        <v>2479</v>
      </c>
      <c r="AL1233" s="9"/>
      <c r="AM1233" s="7" t="s">
        <v>582</v>
      </c>
      <c r="AN1233" s="7" t="s">
        <v>2851</v>
      </c>
      <c r="AO1233" s="15" t="s">
        <v>2642</v>
      </c>
    </row>
    <row r="1234" spans="1:41" s="11" customFormat="1" ht="24" x14ac:dyDescent="0.25">
      <c r="A1234" s="2">
        <v>1233</v>
      </c>
      <c r="B1234" s="7" t="s">
        <v>722</v>
      </c>
      <c r="C1234" s="7" t="s">
        <v>119</v>
      </c>
      <c r="D1234" s="7">
        <v>16</v>
      </c>
      <c r="E1234" s="7">
        <v>16</v>
      </c>
      <c r="F1234" s="8">
        <v>1</v>
      </c>
      <c r="G1234" s="8">
        <v>1</v>
      </c>
      <c r="H1234" s="7">
        <v>1</v>
      </c>
      <c r="I1234" s="7">
        <v>1</v>
      </c>
      <c r="J1234" s="9" t="s">
        <v>176</v>
      </c>
      <c r="K1234" s="9" t="s">
        <v>548</v>
      </c>
      <c r="L1234" s="7" t="s">
        <v>52</v>
      </c>
      <c r="M1234" s="7">
        <f t="shared" si="94"/>
        <v>1</v>
      </c>
      <c r="N1234" s="9"/>
      <c r="O1234" s="7"/>
      <c r="P1234" s="9"/>
      <c r="Q1234" s="7"/>
      <c r="R1234" s="7"/>
      <c r="S1234" s="10" t="s">
        <v>2105</v>
      </c>
      <c r="T1234" s="7"/>
      <c r="U1234" s="7"/>
      <c r="V1234" s="7"/>
      <c r="W1234" s="7"/>
      <c r="X1234" s="7"/>
      <c r="Y1234" s="7"/>
      <c r="Z1234" s="7"/>
      <c r="AA1234" s="7"/>
      <c r="AB1234" s="7">
        <v>0.33333333333333298</v>
      </c>
      <c r="AC1234" s="7">
        <f t="shared" si="95"/>
        <v>0.33333333333333298</v>
      </c>
      <c r="AD1234" s="7">
        <v>1</v>
      </c>
      <c r="AE1234" s="7"/>
      <c r="AF1234" s="7" t="s">
        <v>155</v>
      </c>
      <c r="AG1234" s="7" t="s">
        <v>1071</v>
      </c>
      <c r="AH1234" s="7"/>
      <c r="AI1234" s="7"/>
      <c r="AJ1234" s="7"/>
      <c r="AK1234" s="7"/>
      <c r="AL1234" s="9"/>
      <c r="AM1234" s="7" t="s">
        <v>71</v>
      </c>
      <c r="AN1234" s="7" t="s">
        <v>71</v>
      </c>
      <c r="AO1234" s="15" t="s">
        <v>2661</v>
      </c>
    </row>
    <row r="1235" spans="1:41" s="11" customFormat="1" x14ac:dyDescent="0.25">
      <c r="A1235" s="2">
        <v>1234</v>
      </c>
      <c r="B1235" s="7" t="s">
        <v>722</v>
      </c>
      <c r="C1235" s="7" t="s">
        <v>100</v>
      </c>
      <c r="D1235" s="7">
        <v>1</v>
      </c>
      <c r="E1235" s="7">
        <v>1</v>
      </c>
      <c r="F1235" s="8">
        <v>1</v>
      </c>
      <c r="G1235" s="8">
        <v>1</v>
      </c>
      <c r="H1235" s="7">
        <v>1</v>
      </c>
      <c r="I1235" s="7">
        <v>1</v>
      </c>
      <c r="J1235" s="9" t="s">
        <v>176</v>
      </c>
      <c r="K1235" s="7">
        <v>11</v>
      </c>
      <c r="L1235" s="7" t="s">
        <v>52</v>
      </c>
      <c r="M1235" s="7">
        <f t="shared" si="94"/>
        <v>1</v>
      </c>
      <c r="N1235" s="9"/>
      <c r="O1235" s="7"/>
      <c r="P1235" s="9"/>
      <c r="Q1235" s="7"/>
      <c r="R1235" s="7"/>
      <c r="S1235" s="7"/>
      <c r="T1235" s="7"/>
      <c r="U1235" s="7"/>
      <c r="V1235" s="7"/>
      <c r="W1235" s="7"/>
      <c r="X1235" s="7">
        <v>3</v>
      </c>
      <c r="Y1235" s="7"/>
      <c r="Z1235" s="7"/>
      <c r="AA1235" s="7"/>
      <c r="AB1235" s="7">
        <f>(U1235+X1235+Z1235)/3</f>
        <v>1</v>
      </c>
      <c r="AC1235" s="7">
        <f t="shared" si="95"/>
        <v>1</v>
      </c>
      <c r="AD1235" s="7"/>
      <c r="AE1235" s="7"/>
      <c r="AF1235" s="7"/>
      <c r="AG1235" s="7"/>
      <c r="AH1235" s="7"/>
      <c r="AI1235" s="7"/>
      <c r="AJ1235" s="7"/>
      <c r="AK1235" s="7"/>
      <c r="AL1235" s="9"/>
      <c r="AM1235" s="7" t="s">
        <v>71</v>
      </c>
      <c r="AN1235" s="7" t="s">
        <v>71</v>
      </c>
      <c r="AO1235" s="12"/>
    </row>
    <row r="1236" spans="1:41" s="11" customFormat="1" x14ac:dyDescent="0.25">
      <c r="A1236" s="2">
        <v>1235</v>
      </c>
      <c r="B1236" s="7" t="s">
        <v>722</v>
      </c>
      <c r="C1236" s="7" t="s">
        <v>100</v>
      </c>
      <c r="D1236" s="7">
        <v>21</v>
      </c>
      <c r="E1236" s="7">
        <v>21</v>
      </c>
      <c r="F1236" s="8">
        <v>1</v>
      </c>
      <c r="G1236" s="8">
        <v>1</v>
      </c>
      <c r="H1236" s="7">
        <v>1</v>
      </c>
      <c r="I1236" s="7">
        <v>1</v>
      </c>
      <c r="J1236" s="9" t="s">
        <v>290</v>
      </c>
      <c r="K1236" s="7">
        <v>5</v>
      </c>
      <c r="L1236" s="7" t="s">
        <v>52</v>
      </c>
      <c r="M1236" s="7">
        <f t="shared" si="94"/>
        <v>1</v>
      </c>
      <c r="N1236" s="9" t="s">
        <v>33</v>
      </c>
      <c r="O1236" s="7">
        <v>0</v>
      </c>
      <c r="P1236" s="9" t="s">
        <v>63</v>
      </c>
      <c r="Q1236" s="7" t="s">
        <v>38</v>
      </c>
      <c r="R1236" s="7" t="s">
        <v>52</v>
      </c>
      <c r="S1236" s="10" t="s">
        <v>2106</v>
      </c>
      <c r="T1236" s="7"/>
      <c r="U1236" s="7"/>
      <c r="V1236" s="7"/>
      <c r="W1236" s="7"/>
      <c r="X1236" s="7"/>
      <c r="Y1236" s="7" t="s">
        <v>92</v>
      </c>
      <c r="Z1236" s="7">
        <v>3</v>
      </c>
      <c r="AA1236" s="7" t="s">
        <v>76</v>
      </c>
      <c r="AB1236" s="7">
        <f>(U1236+X1236+Z1236)/3</f>
        <v>1</v>
      </c>
      <c r="AC1236" s="7">
        <f t="shared" si="95"/>
        <v>1</v>
      </c>
      <c r="AD1236" s="7"/>
      <c r="AE1236" s="7"/>
      <c r="AF1236" s="7"/>
      <c r="AG1236" s="7"/>
      <c r="AH1236" s="7"/>
      <c r="AI1236" s="7"/>
      <c r="AJ1236" s="10" t="s">
        <v>2395</v>
      </c>
      <c r="AK1236" s="7"/>
      <c r="AL1236" s="9"/>
      <c r="AM1236" s="7" t="s">
        <v>1072</v>
      </c>
      <c r="AN1236" s="7" t="s">
        <v>2846</v>
      </c>
      <c r="AO1236" s="15" t="s">
        <v>2662</v>
      </c>
    </row>
    <row r="1237" spans="1:41" s="11" customFormat="1" x14ac:dyDescent="0.25">
      <c r="A1237" s="2">
        <v>1236</v>
      </c>
      <c r="B1237" s="7" t="s">
        <v>722</v>
      </c>
      <c r="C1237" s="7" t="s">
        <v>100</v>
      </c>
      <c r="D1237" s="7">
        <v>18</v>
      </c>
      <c r="E1237" s="7">
        <v>18</v>
      </c>
      <c r="F1237" s="8">
        <v>1</v>
      </c>
      <c r="G1237" s="8">
        <v>1</v>
      </c>
      <c r="H1237" s="7">
        <v>1</v>
      </c>
      <c r="I1237" s="7">
        <v>1</v>
      </c>
      <c r="J1237" s="9" t="s">
        <v>639</v>
      </c>
      <c r="K1237" s="7"/>
      <c r="L1237" s="7" t="s">
        <v>38</v>
      </c>
      <c r="M1237" s="7">
        <f t="shared" si="94"/>
        <v>0</v>
      </c>
      <c r="N1237" s="9"/>
      <c r="O1237" s="7"/>
      <c r="P1237" s="9"/>
      <c r="Q1237" s="7"/>
      <c r="R1237" s="7"/>
      <c r="S1237" s="7"/>
      <c r="T1237" s="7"/>
      <c r="U1237" s="7"/>
      <c r="V1237" s="7"/>
      <c r="W1237" s="7"/>
      <c r="X1237" s="7"/>
      <c r="Y1237" s="7"/>
      <c r="Z1237" s="7"/>
      <c r="AA1237" s="7"/>
      <c r="AB1237" s="7">
        <v>0.33333333333333298</v>
      </c>
      <c r="AC1237" s="7">
        <f t="shared" si="95"/>
        <v>0</v>
      </c>
      <c r="AD1237" s="7"/>
      <c r="AE1237" s="7"/>
      <c r="AF1237" s="7"/>
      <c r="AG1237" s="7"/>
      <c r="AH1237" s="7"/>
      <c r="AI1237" s="7"/>
      <c r="AJ1237" s="7"/>
      <c r="AK1237" s="7"/>
      <c r="AL1237" s="9"/>
      <c r="AM1237" s="7"/>
      <c r="AN1237" s="7"/>
      <c r="AO1237" s="15" t="s">
        <v>2663</v>
      </c>
    </row>
    <row r="1238" spans="1:41" s="11" customFormat="1" ht="36" x14ac:dyDescent="0.25">
      <c r="A1238" s="2">
        <v>1237</v>
      </c>
      <c r="B1238" s="7" t="s">
        <v>722</v>
      </c>
      <c r="C1238" s="7" t="s">
        <v>1073</v>
      </c>
      <c r="D1238" s="7" t="s">
        <v>1074</v>
      </c>
      <c r="E1238" s="7">
        <f>614+191+168+120+95+95+88+85+67+54+52+47+76+27+24+20+14+12+9+8</f>
        <v>1866</v>
      </c>
      <c r="F1238" s="8">
        <v>1</v>
      </c>
      <c r="G1238" s="8">
        <v>30</v>
      </c>
      <c r="H1238" s="7" t="s">
        <v>1075</v>
      </c>
      <c r="I1238" s="7">
        <v>30</v>
      </c>
      <c r="J1238" s="9" t="s">
        <v>1076</v>
      </c>
      <c r="K1238" s="7">
        <v>3</v>
      </c>
      <c r="L1238" s="7" t="s">
        <v>52</v>
      </c>
      <c r="M1238" s="7">
        <f t="shared" si="94"/>
        <v>1</v>
      </c>
      <c r="N1238" s="9" t="s">
        <v>1077</v>
      </c>
      <c r="O1238" s="7">
        <v>0</v>
      </c>
      <c r="P1238" s="9" t="s">
        <v>63</v>
      </c>
      <c r="Q1238" s="7" t="s">
        <v>38</v>
      </c>
      <c r="R1238" s="7" t="s">
        <v>38</v>
      </c>
      <c r="S1238" s="10" t="s">
        <v>2107</v>
      </c>
      <c r="T1238" s="7" t="s">
        <v>1078</v>
      </c>
      <c r="U1238" s="7">
        <v>36</v>
      </c>
      <c r="V1238" s="7">
        <v>160</v>
      </c>
      <c r="W1238" s="7" t="s">
        <v>88</v>
      </c>
      <c r="X1238" s="7">
        <v>10</v>
      </c>
      <c r="Y1238" s="7">
        <v>55</v>
      </c>
      <c r="Z1238" s="7">
        <v>55</v>
      </c>
      <c r="AA1238" s="7">
        <v>180</v>
      </c>
      <c r="AB1238" s="7">
        <f t="shared" ref="AB1238:AB1244" si="97">(U1238+X1238+Z1238)/3</f>
        <v>33.666666666666664</v>
      </c>
      <c r="AC1238" s="7">
        <f t="shared" si="95"/>
        <v>33.666666666666664</v>
      </c>
      <c r="AD1238" s="7"/>
      <c r="AE1238" s="7">
        <v>2</v>
      </c>
      <c r="AF1238" s="7" t="s">
        <v>155</v>
      </c>
      <c r="AG1238" s="7" t="s">
        <v>120</v>
      </c>
      <c r="AH1238" s="7"/>
      <c r="AI1238" s="7"/>
      <c r="AJ1238" s="10" t="s">
        <v>2396</v>
      </c>
      <c r="AK1238" s="10" t="s">
        <v>2480</v>
      </c>
      <c r="AL1238" s="9"/>
      <c r="AM1238" s="7" t="s">
        <v>636</v>
      </c>
      <c r="AN1238" s="7" t="s">
        <v>662</v>
      </c>
      <c r="AO1238" s="15" t="s">
        <v>2664</v>
      </c>
    </row>
    <row r="1239" spans="1:41" s="11" customFormat="1" x14ac:dyDescent="0.25">
      <c r="A1239" s="2">
        <v>1238</v>
      </c>
      <c r="B1239" s="7" t="s">
        <v>1079</v>
      </c>
      <c r="C1239" s="7" t="s">
        <v>100</v>
      </c>
      <c r="D1239" s="7">
        <v>7</v>
      </c>
      <c r="E1239" s="7">
        <v>7</v>
      </c>
      <c r="F1239" s="8">
        <v>1</v>
      </c>
      <c r="G1239" s="8">
        <v>1</v>
      </c>
      <c r="H1239" s="7">
        <v>1</v>
      </c>
      <c r="I1239" s="7">
        <v>1</v>
      </c>
      <c r="J1239" s="9" t="s">
        <v>77</v>
      </c>
      <c r="K1239" s="7">
        <v>1</v>
      </c>
      <c r="L1239" s="7" t="s">
        <v>38</v>
      </c>
      <c r="M1239" s="7">
        <f t="shared" si="94"/>
        <v>0</v>
      </c>
      <c r="N1239" s="9"/>
      <c r="O1239" s="7"/>
      <c r="P1239" s="9"/>
      <c r="Q1239" s="7"/>
      <c r="R1239" s="7"/>
      <c r="S1239" s="7"/>
      <c r="T1239" s="7"/>
      <c r="U1239" s="7"/>
      <c r="V1239" s="7"/>
      <c r="W1239" s="7"/>
      <c r="X1239" s="7">
        <v>3</v>
      </c>
      <c r="Y1239" s="7"/>
      <c r="Z1239" s="7"/>
      <c r="AA1239" s="7"/>
      <c r="AB1239" s="7">
        <f t="shared" si="97"/>
        <v>1</v>
      </c>
      <c r="AC1239" s="7">
        <f t="shared" si="95"/>
        <v>0</v>
      </c>
      <c r="AD1239" s="7"/>
      <c r="AE1239" s="7"/>
      <c r="AF1239" s="7"/>
      <c r="AG1239" s="7"/>
      <c r="AH1239" s="7"/>
      <c r="AI1239" s="7"/>
      <c r="AJ1239" s="7"/>
      <c r="AK1239" s="10" t="s">
        <v>2481</v>
      </c>
      <c r="AL1239" s="9"/>
      <c r="AM1239" s="7" t="s">
        <v>71</v>
      </c>
      <c r="AN1239" s="7" t="s">
        <v>71</v>
      </c>
      <c r="AO1239" s="15" t="s">
        <v>2665</v>
      </c>
    </row>
    <row r="1240" spans="1:41" s="11" customFormat="1" ht="24" x14ac:dyDescent="0.25">
      <c r="A1240" s="2">
        <v>1239</v>
      </c>
      <c r="B1240" s="7" t="s">
        <v>1079</v>
      </c>
      <c r="C1240" s="7" t="s">
        <v>50</v>
      </c>
      <c r="D1240" s="7">
        <v>60</v>
      </c>
      <c r="E1240" s="7">
        <v>60</v>
      </c>
      <c r="F1240" s="8">
        <v>1</v>
      </c>
      <c r="G1240" s="8">
        <v>2</v>
      </c>
      <c r="H1240" s="7">
        <v>2</v>
      </c>
      <c r="I1240" s="7">
        <v>2</v>
      </c>
      <c r="J1240" s="9" t="s">
        <v>35</v>
      </c>
      <c r="K1240" s="7">
        <v>1</v>
      </c>
      <c r="L1240" s="7" t="s">
        <v>52</v>
      </c>
      <c r="M1240" s="7">
        <f t="shared" si="94"/>
        <v>1</v>
      </c>
      <c r="N1240" s="9" t="s">
        <v>36</v>
      </c>
      <c r="O1240" s="7">
        <v>0</v>
      </c>
      <c r="P1240" s="9" t="s">
        <v>63</v>
      </c>
      <c r="Q1240" s="7" t="s">
        <v>38</v>
      </c>
      <c r="R1240" s="7" t="s">
        <v>38</v>
      </c>
      <c r="S1240" s="10" t="s">
        <v>2108</v>
      </c>
      <c r="T1240" s="7"/>
      <c r="U1240" s="7"/>
      <c r="V1240" s="7"/>
      <c r="W1240" s="7"/>
      <c r="X1240" s="7">
        <v>5</v>
      </c>
      <c r="Y1240" s="7">
        <v>100</v>
      </c>
      <c r="Z1240" s="7">
        <v>100</v>
      </c>
      <c r="AA1240" s="7">
        <v>43</v>
      </c>
      <c r="AB1240" s="7">
        <f t="shared" si="97"/>
        <v>35</v>
      </c>
      <c r="AC1240" s="7">
        <f t="shared" si="95"/>
        <v>35</v>
      </c>
      <c r="AD1240" s="7"/>
      <c r="AE1240" s="7">
        <v>1</v>
      </c>
      <c r="AF1240" s="7"/>
      <c r="AG1240" s="7" t="s">
        <v>1080</v>
      </c>
      <c r="AH1240" s="7" t="s">
        <v>38</v>
      </c>
      <c r="AI1240" s="7"/>
      <c r="AJ1240" s="10" t="s">
        <v>2397</v>
      </c>
      <c r="AK1240" s="7"/>
      <c r="AL1240" s="9"/>
      <c r="AM1240" s="7" t="s">
        <v>42</v>
      </c>
      <c r="AN1240" s="7" t="s">
        <v>42</v>
      </c>
      <c r="AO1240" s="12"/>
    </row>
    <row r="1241" spans="1:41" s="11" customFormat="1" x14ac:dyDescent="0.25">
      <c r="A1241" s="2">
        <v>1240</v>
      </c>
      <c r="B1241" s="7" t="s">
        <v>1079</v>
      </c>
      <c r="C1241" s="7" t="s">
        <v>104</v>
      </c>
      <c r="D1241" s="7">
        <v>50</v>
      </c>
      <c r="E1241" s="7">
        <v>50</v>
      </c>
      <c r="F1241" s="8">
        <v>1</v>
      </c>
      <c r="G1241" s="8">
        <v>1</v>
      </c>
      <c r="H1241" s="7">
        <v>1</v>
      </c>
      <c r="I1241" s="7">
        <v>1</v>
      </c>
      <c r="J1241" s="9" t="s">
        <v>35</v>
      </c>
      <c r="K1241" s="7">
        <v>1</v>
      </c>
      <c r="L1241" s="7" t="s">
        <v>52</v>
      </c>
      <c r="M1241" s="7">
        <f t="shared" si="94"/>
        <v>1</v>
      </c>
      <c r="N1241" s="9" t="s">
        <v>34</v>
      </c>
      <c r="O1241" s="7">
        <v>0</v>
      </c>
      <c r="P1241" s="9" t="s">
        <v>37</v>
      </c>
      <c r="Q1241" s="7" t="s">
        <v>38</v>
      </c>
      <c r="R1241" s="7" t="s">
        <v>38</v>
      </c>
      <c r="S1241" s="10" t="s">
        <v>2109</v>
      </c>
      <c r="T1241" s="7"/>
      <c r="U1241" s="7"/>
      <c r="V1241" s="7"/>
      <c r="W1241" s="7"/>
      <c r="X1241" s="7">
        <v>3</v>
      </c>
      <c r="Y1241" s="7"/>
      <c r="Z1241" s="7"/>
      <c r="AA1241" s="7"/>
      <c r="AB1241" s="7">
        <f t="shared" si="97"/>
        <v>1</v>
      </c>
      <c r="AC1241" s="7">
        <f t="shared" si="95"/>
        <v>1</v>
      </c>
      <c r="AD1241" s="7"/>
      <c r="AE1241" s="7">
        <v>1</v>
      </c>
      <c r="AF1241" s="7" t="s">
        <v>40</v>
      </c>
      <c r="AG1241" s="7" t="s">
        <v>1081</v>
      </c>
      <c r="AH1241" s="7" t="s">
        <v>38</v>
      </c>
      <c r="AI1241" s="7"/>
      <c r="AJ1241" s="7"/>
      <c r="AK1241" s="10" t="s">
        <v>2482</v>
      </c>
      <c r="AL1241" s="9"/>
      <c r="AM1241" s="7" t="s">
        <v>71</v>
      </c>
      <c r="AN1241" s="7" t="s">
        <v>71</v>
      </c>
      <c r="AO1241" s="12"/>
    </row>
    <row r="1242" spans="1:41" s="11" customFormat="1" x14ac:dyDescent="0.25">
      <c r="A1242" s="2">
        <v>1241</v>
      </c>
      <c r="B1242" s="7" t="s">
        <v>1079</v>
      </c>
      <c r="C1242" s="7" t="s">
        <v>104</v>
      </c>
      <c r="D1242" s="7">
        <v>20</v>
      </c>
      <c r="E1242" s="7">
        <v>20</v>
      </c>
      <c r="F1242" s="8">
        <v>1</v>
      </c>
      <c r="G1242" s="8">
        <v>1</v>
      </c>
      <c r="H1242" s="7">
        <v>1</v>
      </c>
      <c r="I1242" s="7">
        <v>1</v>
      </c>
      <c r="J1242" s="9" t="s">
        <v>35</v>
      </c>
      <c r="K1242" s="7">
        <v>2</v>
      </c>
      <c r="L1242" s="7" t="s">
        <v>52</v>
      </c>
      <c r="M1242" s="7">
        <f t="shared" si="94"/>
        <v>1</v>
      </c>
      <c r="N1242" s="9" t="s">
        <v>34</v>
      </c>
      <c r="O1242" s="7">
        <v>0</v>
      </c>
      <c r="P1242" s="9" t="s">
        <v>63</v>
      </c>
      <c r="Q1242" s="7" t="s">
        <v>38</v>
      </c>
      <c r="R1242" s="7" t="s">
        <v>38</v>
      </c>
      <c r="S1242" s="10" t="s">
        <v>2110</v>
      </c>
      <c r="T1242" s="7"/>
      <c r="U1242" s="7"/>
      <c r="V1242" s="7"/>
      <c r="W1242" s="7"/>
      <c r="X1242" s="7">
        <v>3</v>
      </c>
      <c r="Y1242" s="7"/>
      <c r="Z1242" s="7"/>
      <c r="AA1242" s="7"/>
      <c r="AB1242" s="7">
        <f t="shared" si="97"/>
        <v>1</v>
      </c>
      <c r="AC1242" s="7">
        <f t="shared" si="95"/>
        <v>1</v>
      </c>
      <c r="AD1242" s="7"/>
      <c r="AE1242" s="7">
        <v>1</v>
      </c>
      <c r="AF1242" s="7" t="s">
        <v>40</v>
      </c>
      <c r="AG1242" s="7" t="s">
        <v>1081</v>
      </c>
      <c r="AH1242" s="7" t="s">
        <v>38</v>
      </c>
      <c r="AI1242" s="7"/>
      <c r="AJ1242" s="7"/>
      <c r="AK1242" s="7"/>
      <c r="AL1242" s="9"/>
      <c r="AM1242" s="7" t="s">
        <v>71</v>
      </c>
      <c r="AN1242" s="7" t="s">
        <v>71</v>
      </c>
      <c r="AO1242" s="7"/>
    </row>
    <row r="1243" spans="1:41" s="11" customFormat="1" x14ac:dyDescent="0.25">
      <c r="A1243" s="2">
        <v>1242</v>
      </c>
      <c r="B1243" s="7" t="s">
        <v>1079</v>
      </c>
      <c r="C1243" s="7" t="s">
        <v>104</v>
      </c>
      <c r="D1243" s="7">
        <v>4</v>
      </c>
      <c r="E1243" s="7">
        <v>4</v>
      </c>
      <c r="F1243" s="8">
        <v>1</v>
      </c>
      <c r="G1243" s="8">
        <v>1</v>
      </c>
      <c r="H1243" s="7">
        <v>1</v>
      </c>
      <c r="I1243" s="7">
        <v>1</v>
      </c>
      <c r="J1243" s="9" t="s">
        <v>35</v>
      </c>
      <c r="K1243" s="7">
        <v>1</v>
      </c>
      <c r="L1243" s="7" t="s">
        <v>52</v>
      </c>
      <c r="M1243" s="7">
        <f t="shared" si="94"/>
        <v>1</v>
      </c>
      <c r="N1243" s="9" t="s">
        <v>34</v>
      </c>
      <c r="O1243" s="7">
        <v>0</v>
      </c>
      <c r="P1243" s="9" t="s">
        <v>63</v>
      </c>
      <c r="Q1243" s="7" t="s">
        <v>52</v>
      </c>
      <c r="R1243" s="7" t="s">
        <v>38</v>
      </c>
      <c r="S1243" s="7"/>
      <c r="T1243" s="7"/>
      <c r="U1243" s="7"/>
      <c r="V1243" s="7"/>
      <c r="W1243" s="7"/>
      <c r="X1243" s="7">
        <v>3</v>
      </c>
      <c r="Y1243" s="7"/>
      <c r="Z1243" s="7"/>
      <c r="AA1243" s="7"/>
      <c r="AB1243" s="7">
        <f t="shared" si="97"/>
        <v>1</v>
      </c>
      <c r="AC1243" s="7">
        <f t="shared" si="95"/>
        <v>1</v>
      </c>
      <c r="AD1243" s="7"/>
      <c r="AE1243" s="7">
        <v>1</v>
      </c>
      <c r="AF1243" s="7" t="s">
        <v>40</v>
      </c>
      <c r="AG1243" s="7" t="s">
        <v>1082</v>
      </c>
      <c r="AH1243" s="7" t="s">
        <v>38</v>
      </c>
      <c r="AI1243" s="7"/>
      <c r="AJ1243" s="7"/>
      <c r="AK1243" s="7"/>
      <c r="AL1243" s="9"/>
      <c r="AM1243" s="7" t="s">
        <v>71</v>
      </c>
      <c r="AN1243" s="7" t="s">
        <v>71</v>
      </c>
      <c r="AO1243" s="7"/>
    </row>
    <row r="1244" spans="1:41" s="11" customFormat="1" x14ac:dyDescent="0.25">
      <c r="A1244" s="2">
        <v>1243</v>
      </c>
      <c r="B1244" s="7" t="s">
        <v>1079</v>
      </c>
      <c r="C1244" s="7" t="s">
        <v>104</v>
      </c>
      <c r="D1244" s="7">
        <v>9</v>
      </c>
      <c r="E1244" s="7">
        <v>9</v>
      </c>
      <c r="F1244" s="8">
        <v>1</v>
      </c>
      <c r="G1244" s="8">
        <v>1</v>
      </c>
      <c r="H1244" s="7">
        <v>1</v>
      </c>
      <c r="I1244" s="7">
        <v>1</v>
      </c>
      <c r="J1244" s="9" t="s">
        <v>35</v>
      </c>
      <c r="K1244" s="7">
        <v>1</v>
      </c>
      <c r="L1244" s="7" t="s">
        <v>52</v>
      </c>
      <c r="M1244" s="7">
        <f t="shared" si="94"/>
        <v>1</v>
      </c>
      <c r="N1244" s="9" t="s">
        <v>36</v>
      </c>
      <c r="O1244" s="7">
        <v>0</v>
      </c>
      <c r="P1244" s="9" t="s">
        <v>63</v>
      </c>
      <c r="Q1244" s="7" t="s">
        <v>38</v>
      </c>
      <c r="R1244" s="7" t="s">
        <v>38</v>
      </c>
      <c r="S1244" s="10" t="s">
        <v>2111</v>
      </c>
      <c r="T1244" s="7"/>
      <c r="U1244" s="7"/>
      <c r="V1244" s="7"/>
      <c r="W1244" s="7"/>
      <c r="X1244" s="7">
        <v>3</v>
      </c>
      <c r="Y1244" s="7"/>
      <c r="Z1244" s="7"/>
      <c r="AA1244" s="7"/>
      <c r="AB1244" s="7">
        <f t="shared" si="97"/>
        <v>1</v>
      </c>
      <c r="AC1244" s="7">
        <f t="shared" si="95"/>
        <v>1</v>
      </c>
      <c r="AD1244" s="7"/>
      <c r="AE1244" s="7">
        <v>1</v>
      </c>
      <c r="AF1244" s="7" t="s">
        <v>40</v>
      </c>
      <c r="AG1244" s="7" t="s">
        <v>1083</v>
      </c>
      <c r="AH1244" s="7"/>
      <c r="AI1244" s="7"/>
      <c r="AJ1244" s="7"/>
      <c r="AK1244" s="7"/>
      <c r="AL1244" s="9"/>
      <c r="AM1244" s="7" t="s">
        <v>71</v>
      </c>
      <c r="AN1244" s="7" t="s">
        <v>71</v>
      </c>
      <c r="AO1244" s="15" t="s">
        <v>2601</v>
      </c>
    </row>
    <row r="1245" spans="1:41" s="11" customFormat="1" ht="24" x14ac:dyDescent="0.25">
      <c r="A1245" s="2">
        <v>1244</v>
      </c>
      <c r="B1245" s="7" t="s">
        <v>1079</v>
      </c>
      <c r="C1245" s="7" t="s">
        <v>50</v>
      </c>
      <c r="D1245" s="7">
        <v>18</v>
      </c>
      <c r="E1245" s="7">
        <v>18</v>
      </c>
      <c r="F1245" s="8">
        <v>1</v>
      </c>
      <c r="G1245" s="8">
        <v>1</v>
      </c>
      <c r="H1245" s="7">
        <v>1</v>
      </c>
      <c r="I1245" s="7">
        <v>1</v>
      </c>
      <c r="J1245" s="9" t="s">
        <v>219</v>
      </c>
      <c r="K1245" s="7">
        <v>1</v>
      </c>
      <c r="L1245" s="7" t="s">
        <v>52</v>
      </c>
      <c r="M1245" s="7">
        <f t="shared" si="94"/>
        <v>1</v>
      </c>
      <c r="N1245" s="9" t="s">
        <v>34</v>
      </c>
      <c r="O1245" s="7">
        <v>0</v>
      </c>
      <c r="P1245" s="9" t="s">
        <v>63</v>
      </c>
      <c r="Q1245" s="7" t="s">
        <v>38</v>
      </c>
      <c r="R1245" s="7" t="s">
        <v>38</v>
      </c>
      <c r="S1245" s="10" t="s">
        <v>2112</v>
      </c>
      <c r="T1245" s="7"/>
      <c r="U1245" s="7"/>
      <c r="V1245" s="7"/>
      <c r="W1245" s="7"/>
      <c r="X1245" s="7"/>
      <c r="Y1245" s="7"/>
      <c r="Z1245" s="7"/>
      <c r="AA1245" s="7" t="s">
        <v>81</v>
      </c>
      <c r="AB1245" s="7">
        <v>0.33333333333333298</v>
      </c>
      <c r="AC1245" s="7">
        <f t="shared" si="95"/>
        <v>0.33333333333333298</v>
      </c>
      <c r="AD1245" s="7"/>
      <c r="AE1245" s="7"/>
      <c r="AF1245" s="7"/>
      <c r="AG1245" s="7"/>
      <c r="AH1245" s="7"/>
      <c r="AI1245" s="7"/>
      <c r="AJ1245" s="7"/>
      <c r="AK1245" s="7"/>
      <c r="AL1245" s="9"/>
      <c r="AM1245" s="7" t="s">
        <v>71</v>
      </c>
      <c r="AN1245" s="7" t="s">
        <v>71</v>
      </c>
      <c r="AO1245" s="12"/>
    </row>
    <row r="1246" spans="1:41" s="11" customFormat="1" x14ac:dyDescent="0.25">
      <c r="A1246" s="2">
        <v>1245</v>
      </c>
      <c r="B1246" s="7" t="s">
        <v>1079</v>
      </c>
      <c r="C1246" s="7" t="s">
        <v>100</v>
      </c>
      <c r="D1246" s="7">
        <v>3</v>
      </c>
      <c r="E1246" s="7">
        <v>3</v>
      </c>
      <c r="F1246" s="8">
        <v>1</v>
      </c>
      <c r="G1246" s="8">
        <v>1</v>
      </c>
      <c r="H1246" s="7">
        <v>1</v>
      </c>
      <c r="I1246" s="7">
        <v>1</v>
      </c>
      <c r="J1246" s="9" t="s">
        <v>639</v>
      </c>
      <c r="K1246" s="7"/>
      <c r="L1246" s="7" t="s">
        <v>38</v>
      </c>
      <c r="M1246" s="7">
        <f t="shared" si="94"/>
        <v>0</v>
      </c>
      <c r="N1246" s="9"/>
      <c r="O1246" s="7"/>
      <c r="P1246" s="9"/>
      <c r="Q1246" s="7"/>
      <c r="R1246" s="7"/>
      <c r="S1246" s="7"/>
      <c r="T1246" s="7"/>
      <c r="U1246" s="7"/>
      <c r="V1246" s="7"/>
      <c r="W1246" s="7"/>
      <c r="X1246" s="7"/>
      <c r="Y1246" s="7"/>
      <c r="Z1246" s="7"/>
      <c r="AA1246" s="7"/>
      <c r="AB1246" s="7">
        <v>0.33333333333333298</v>
      </c>
      <c r="AC1246" s="7">
        <f t="shared" si="95"/>
        <v>0</v>
      </c>
      <c r="AD1246" s="7"/>
      <c r="AE1246" s="7"/>
      <c r="AF1246" s="7"/>
      <c r="AG1246" s="7"/>
      <c r="AH1246" s="7"/>
      <c r="AI1246" s="7"/>
      <c r="AJ1246" s="7"/>
      <c r="AK1246" s="7"/>
      <c r="AL1246" s="9"/>
      <c r="AM1246" s="7"/>
      <c r="AN1246" s="7"/>
      <c r="AO1246" s="15" t="s">
        <v>2666</v>
      </c>
    </row>
    <row r="1247" spans="1:41" s="11" customFormat="1" x14ac:dyDescent="0.25">
      <c r="A1247" s="2">
        <v>1246</v>
      </c>
      <c r="B1247" s="7" t="s">
        <v>1079</v>
      </c>
      <c r="C1247" s="7" t="s">
        <v>50</v>
      </c>
      <c r="D1247" s="7">
        <v>108</v>
      </c>
      <c r="E1247" s="7">
        <v>108</v>
      </c>
      <c r="F1247" s="8">
        <v>1</v>
      </c>
      <c r="G1247" s="8">
        <v>4</v>
      </c>
      <c r="H1247" s="7">
        <v>4</v>
      </c>
      <c r="I1247" s="7">
        <v>4</v>
      </c>
      <c r="J1247" s="9" t="s">
        <v>35</v>
      </c>
      <c r="K1247" s="7">
        <v>2</v>
      </c>
      <c r="L1247" s="7" t="s">
        <v>52</v>
      </c>
      <c r="M1247" s="7">
        <f t="shared" si="94"/>
        <v>1</v>
      </c>
      <c r="N1247" s="9" t="s">
        <v>36</v>
      </c>
      <c r="O1247" s="7">
        <v>0</v>
      </c>
      <c r="P1247" s="9" t="s">
        <v>37</v>
      </c>
      <c r="Q1247" s="7" t="s">
        <v>38</v>
      </c>
      <c r="R1247" s="7" t="s">
        <v>38</v>
      </c>
      <c r="S1247" s="10" t="s">
        <v>2113</v>
      </c>
      <c r="T1247" s="7"/>
      <c r="U1247" s="7"/>
      <c r="V1247" s="7"/>
      <c r="W1247" s="7"/>
      <c r="X1247" s="7">
        <v>3</v>
      </c>
      <c r="Y1247" s="7">
        <v>100</v>
      </c>
      <c r="Z1247" s="7">
        <v>100</v>
      </c>
      <c r="AA1247" s="7">
        <v>64</v>
      </c>
      <c r="AB1247" s="7">
        <f>(U1247+X1247+Z1247)/3</f>
        <v>34.333333333333336</v>
      </c>
      <c r="AC1247" s="7">
        <f t="shared" si="95"/>
        <v>34.333333333333336</v>
      </c>
      <c r="AD1247" s="7"/>
      <c r="AE1247" s="7"/>
      <c r="AF1247" s="7"/>
      <c r="AG1247" s="7"/>
      <c r="AH1247" s="7"/>
      <c r="AI1247" s="7"/>
      <c r="AJ1247" s="7"/>
      <c r="AK1247" s="7"/>
      <c r="AL1247" s="9"/>
      <c r="AM1247" s="7" t="s">
        <v>42</v>
      </c>
      <c r="AN1247" s="7" t="s">
        <v>42</v>
      </c>
      <c r="AO1247" s="15" t="s">
        <v>2667</v>
      </c>
    </row>
    <row r="1248" spans="1:41" s="11" customFormat="1" x14ac:dyDescent="0.25">
      <c r="A1248" s="2">
        <v>1247</v>
      </c>
      <c r="B1248" s="7" t="s">
        <v>1079</v>
      </c>
      <c r="C1248" s="7" t="s">
        <v>50</v>
      </c>
      <c r="D1248" s="7">
        <v>30</v>
      </c>
      <c r="E1248" s="7">
        <v>30</v>
      </c>
      <c r="F1248" s="8">
        <v>1</v>
      </c>
      <c r="G1248" s="8">
        <v>1</v>
      </c>
      <c r="H1248" s="7">
        <v>1</v>
      </c>
      <c r="I1248" s="7">
        <v>1</v>
      </c>
      <c r="J1248" s="9" t="s">
        <v>35</v>
      </c>
      <c r="K1248" s="7">
        <v>1</v>
      </c>
      <c r="L1248" s="7" t="s">
        <v>52</v>
      </c>
      <c r="M1248" s="7">
        <f t="shared" si="94"/>
        <v>1</v>
      </c>
      <c r="N1248" s="9" t="s">
        <v>34</v>
      </c>
      <c r="O1248" s="7">
        <v>0</v>
      </c>
      <c r="P1248" s="9" t="s">
        <v>63</v>
      </c>
      <c r="Q1248" s="7" t="s">
        <v>38</v>
      </c>
      <c r="R1248" s="7" t="s">
        <v>38</v>
      </c>
      <c r="S1248" s="10" t="s">
        <v>2114</v>
      </c>
      <c r="T1248" s="7"/>
      <c r="U1248" s="7"/>
      <c r="V1248" s="7"/>
      <c r="W1248" s="7"/>
      <c r="X1248" s="7"/>
      <c r="Y1248" s="7">
        <v>37</v>
      </c>
      <c r="Z1248" s="7">
        <v>37</v>
      </c>
      <c r="AA1248" s="7">
        <v>70</v>
      </c>
      <c r="AB1248" s="7">
        <f>(U1248+X1248+Z1248)/3</f>
        <v>12.333333333333334</v>
      </c>
      <c r="AC1248" s="7">
        <f t="shared" si="95"/>
        <v>12.333333333333334</v>
      </c>
      <c r="AD1248" s="7"/>
      <c r="AE1248" s="7"/>
      <c r="AF1248" s="7"/>
      <c r="AG1248" s="7"/>
      <c r="AH1248" s="7"/>
      <c r="AI1248" s="7"/>
      <c r="AJ1248" s="7"/>
      <c r="AK1248" s="7"/>
      <c r="AL1248" s="9"/>
      <c r="AM1248" s="7" t="s">
        <v>42</v>
      </c>
      <c r="AN1248" s="7" t="s">
        <v>42</v>
      </c>
      <c r="AO1248" s="12"/>
    </row>
    <row r="1249" spans="1:41" s="11" customFormat="1" x14ac:dyDescent="0.25">
      <c r="A1249" s="2">
        <v>1248</v>
      </c>
      <c r="B1249" s="7" t="s">
        <v>1079</v>
      </c>
      <c r="C1249" s="7" t="s">
        <v>119</v>
      </c>
      <c r="D1249" s="7">
        <v>4</v>
      </c>
      <c r="E1249" s="7">
        <v>4</v>
      </c>
      <c r="F1249" s="8">
        <v>1</v>
      </c>
      <c r="G1249" s="8">
        <v>1</v>
      </c>
      <c r="H1249" s="7">
        <v>1</v>
      </c>
      <c r="I1249" s="7">
        <v>1</v>
      </c>
      <c r="J1249" s="9" t="s">
        <v>35</v>
      </c>
      <c r="K1249" s="7">
        <v>1</v>
      </c>
      <c r="L1249" s="7" t="s">
        <v>52</v>
      </c>
      <c r="M1249" s="7">
        <f t="shared" si="94"/>
        <v>1</v>
      </c>
      <c r="N1249" s="9" t="s">
        <v>36</v>
      </c>
      <c r="O1249" s="7">
        <v>0</v>
      </c>
      <c r="P1249" s="9" t="s">
        <v>63</v>
      </c>
      <c r="Q1249" s="7"/>
      <c r="R1249" s="7" t="s">
        <v>38</v>
      </c>
      <c r="S1249" s="10" t="s">
        <v>2115</v>
      </c>
      <c r="T1249" s="7"/>
      <c r="U1249" s="7"/>
      <c r="V1249" s="7"/>
      <c r="W1249" s="7"/>
      <c r="X1249" s="7"/>
      <c r="Y1249" s="7"/>
      <c r="Z1249" s="7"/>
      <c r="AA1249" s="7"/>
      <c r="AB1249" s="7">
        <v>0.33333333333333298</v>
      </c>
      <c r="AC1249" s="7">
        <f t="shared" si="95"/>
        <v>0.33333333333333298</v>
      </c>
      <c r="AD1249" s="7">
        <v>1</v>
      </c>
      <c r="AE1249" s="7"/>
      <c r="AF1249" s="7" t="s">
        <v>40</v>
      </c>
      <c r="AG1249" s="7" t="s">
        <v>120</v>
      </c>
      <c r="AH1249" s="7"/>
      <c r="AI1249" s="7"/>
      <c r="AJ1249" s="7"/>
      <c r="AK1249" s="7"/>
      <c r="AL1249" s="9"/>
      <c r="AM1249" s="7" t="s">
        <v>71</v>
      </c>
      <c r="AN1249" s="7" t="s">
        <v>71</v>
      </c>
      <c r="AO1249" s="12"/>
    </row>
    <row r="1250" spans="1:41" s="11" customFormat="1" x14ac:dyDescent="0.25">
      <c r="A1250" s="2">
        <v>1249</v>
      </c>
      <c r="B1250" s="7" t="s">
        <v>1079</v>
      </c>
      <c r="C1250" s="7" t="s">
        <v>89</v>
      </c>
      <c r="D1250" s="7">
        <v>34</v>
      </c>
      <c r="E1250" s="7">
        <v>34</v>
      </c>
      <c r="F1250" s="8">
        <v>2</v>
      </c>
      <c r="G1250" s="8">
        <v>2</v>
      </c>
      <c r="H1250" s="7" t="s">
        <v>87</v>
      </c>
      <c r="I1250" s="7">
        <v>2</v>
      </c>
      <c r="J1250" s="9" t="s">
        <v>639</v>
      </c>
      <c r="K1250" s="7"/>
      <c r="L1250" s="7" t="s">
        <v>38</v>
      </c>
      <c r="M1250" s="7">
        <f t="shared" si="94"/>
        <v>0</v>
      </c>
      <c r="N1250" s="9"/>
      <c r="O1250" s="7"/>
      <c r="P1250" s="9"/>
      <c r="Q1250" s="7"/>
      <c r="R1250" s="7"/>
      <c r="S1250" s="7"/>
      <c r="T1250" s="7"/>
      <c r="U1250" s="7"/>
      <c r="V1250" s="7"/>
      <c r="W1250" s="7"/>
      <c r="X1250" s="7"/>
      <c r="Y1250" s="7"/>
      <c r="Z1250" s="7"/>
      <c r="AA1250" s="7"/>
      <c r="AB1250" s="7">
        <v>0.33333333333333298</v>
      </c>
      <c r="AC1250" s="7">
        <f t="shared" si="95"/>
        <v>0</v>
      </c>
      <c r="AD1250" s="7"/>
      <c r="AE1250" s="7"/>
      <c r="AF1250" s="7"/>
      <c r="AG1250" s="7"/>
      <c r="AH1250" s="7"/>
      <c r="AI1250" s="7"/>
      <c r="AJ1250" s="7"/>
      <c r="AK1250" s="7"/>
      <c r="AL1250" s="9"/>
      <c r="AM1250" s="7" t="s">
        <v>71</v>
      </c>
      <c r="AN1250" s="7" t="s">
        <v>71</v>
      </c>
      <c r="AO1250" s="15" t="s">
        <v>2668</v>
      </c>
    </row>
    <row r="1251" spans="1:41" s="11" customFormat="1" x14ac:dyDescent="0.25">
      <c r="A1251" s="2">
        <v>1250</v>
      </c>
      <c r="B1251" s="7" t="s">
        <v>1079</v>
      </c>
      <c r="C1251" s="7" t="s">
        <v>50</v>
      </c>
      <c r="D1251" s="7">
        <v>8</v>
      </c>
      <c r="E1251" s="7">
        <v>8</v>
      </c>
      <c r="F1251" s="8">
        <v>1</v>
      </c>
      <c r="G1251" s="8">
        <v>1</v>
      </c>
      <c r="H1251" s="7">
        <v>1</v>
      </c>
      <c r="I1251" s="7">
        <v>1</v>
      </c>
      <c r="J1251" s="9" t="s">
        <v>35</v>
      </c>
      <c r="K1251" s="7">
        <v>2</v>
      </c>
      <c r="L1251" s="7" t="s">
        <v>52</v>
      </c>
      <c r="M1251" s="7">
        <f t="shared" si="94"/>
        <v>1</v>
      </c>
      <c r="N1251" s="9" t="s">
        <v>34</v>
      </c>
      <c r="O1251" s="7">
        <v>1</v>
      </c>
      <c r="P1251" s="9" t="s">
        <v>63</v>
      </c>
      <c r="Q1251" s="7"/>
      <c r="R1251" s="7" t="s">
        <v>38</v>
      </c>
      <c r="S1251" s="10"/>
      <c r="T1251" s="7"/>
      <c r="U1251" s="7"/>
      <c r="V1251" s="7"/>
      <c r="W1251" s="7"/>
      <c r="X1251" s="7"/>
      <c r="Y1251" s="7">
        <v>9</v>
      </c>
      <c r="Z1251" s="7">
        <v>9</v>
      </c>
      <c r="AA1251" s="7">
        <v>80</v>
      </c>
      <c r="AB1251" s="7">
        <f>(U1251+X1251+Z1251)/3</f>
        <v>3</v>
      </c>
      <c r="AC1251" s="7">
        <f t="shared" si="95"/>
        <v>3</v>
      </c>
      <c r="AD1251" s="7"/>
      <c r="AE1251" s="7"/>
      <c r="AF1251" s="7"/>
      <c r="AG1251" s="7"/>
      <c r="AH1251" s="7"/>
      <c r="AI1251" s="7"/>
      <c r="AJ1251" s="7"/>
      <c r="AK1251" s="7"/>
      <c r="AL1251" s="9"/>
      <c r="AM1251" s="7" t="s">
        <v>71</v>
      </c>
      <c r="AN1251" s="7" t="s">
        <v>71</v>
      </c>
      <c r="AO1251" s="15" t="s">
        <v>2601</v>
      </c>
    </row>
    <row r="1252" spans="1:41" s="11" customFormat="1" x14ac:dyDescent="0.25">
      <c r="A1252" s="2">
        <v>1251</v>
      </c>
      <c r="B1252" s="7" t="s">
        <v>1079</v>
      </c>
      <c r="C1252" s="7" t="s">
        <v>104</v>
      </c>
      <c r="D1252" s="7">
        <v>6</v>
      </c>
      <c r="E1252" s="7">
        <v>6</v>
      </c>
      <c r="F1252" s="8">
        <v>1</v>
      </c>
      <c r="G1252" s="8">
        <v>1</v>
      </c>
      <c r="H1252" s="7">
        <v>1</v>
      </c>
      <c r="I1252" s="7">
        <v>1</v>
      </c>
      <c r="J1252" s="9" t="s">
        <v>70</v>
      </c>
      <c r="K1252" s="7">
        <v>1</v>
      </c>
      <c r="L1252" s="7" t="s">
        <v>52</v>
      </c>
      <c r="M1252" s="7">
        <f t="shared" si="94"/>
        <v>1</v>
      </c>
      <c r="N1252" s="9" t="s">
        <v>36</v>
      </c>
      <c r="O1252" s="7">
        <v>0</v>
      </c>
      <c r="P1252" s="9" t="s">
        <v>33</v>
      </c>
      <c r="Q1252" s="7" t="s">
        <v>38</v>
      </c>
      <c r="R1252" s="7" t="s">
        <v>38</v>
      </c>
      <c r="S1252" s="10" t="s">
        <v>2076</v>
      </c>
      <c r="T1252" s="7"/>
      <c r="U1252" s="7"/>
      <c r="V1252" s="7"/>
      <c r="W1252" s="7"/>
      <c r="X1252" s="7">
        <v>3</v>
      </c>
      <c r="Y1252" s="7"/>
      <c r="Z1252" s="7"/>
      <c r="AA1252" s="7"/>
      <c r="AB1252" s="7">
        <f>(U1252+X1252+Z1252)/3</f>
        <v>1</v>
      </c>
      <c r="AC1252" s="7">
        <f t="shared" si="95"/>
        <v>1</v>
      </c>
      <c r="AD1252" s="7"/>
      <c r="AE1252" s="7">
        <v>1</v>
      </c>
      <c r="AF1252" s="7" t="s">
        <v>40</v>
      </c>
      <c r="AG1252" s="7"/>
      <c r="AH1252" s="7"/>
      <c r="AI1252" s="7"/>
      <c r="AJ1252" s="7"/>
      <c r="AK1252" s="7"/>
      <c r="AL1252" s="9"/>
      <c r="AM1252" s="7" t="s">
        <v>71</v>
      </c>
      <c r="AN1252" s="7" t="s">
        <v>71</v>
      </c>
      <c r="AO1252" s="12"/>
    </row>
    <row r="1253" spans="1:41" s="11" customFormat="1" x14ac:dyDescent="0.25">
      <c r="A1253" s="2">
        <v>1252</v>
      </c>
      <c r="B1253" s="7" t="s">
        <v>1079</v>
      </c>
      <c r="C1253" s="7" t="s">
        <v>100</v>
      </c>
      <c r="D1253" s="7">
        <v>3</v>
      </c>
      <c r="E1253" s="7">
        <v>3</v>
      </c>
      <c r="F1253" s="8">
        <v>1</v>
      </c>
      <c r="G1253" s="8">
        <v>1</v>
      </c>
      <c r="H1253" s="7">
        <v>1</v>
      </c>
      <c r="I1253" s="7">
        <v>1</v>
      </c>
      <c r="J1253" s="9" t="s">
        <v>70</v>
      </c>
      <c r="K1253" s="7">
        <v>1</v>
      </c>
      <c r="L1253" s="7" t="s">
        <v>52</v>
      </c>
      <c r="M1253" s="7">
        <f t="shared" si="94"/>
        <v>1</v>
      </c>
      <c r="N1253" s="9"/>
      <c r="O1253" s="7"/>
      <c r="P1253" s="9"/>
      <c r="Q1253" s="7"/>
      <c r="R1253" s="7"/>
      <c r="S1253" s="7"/>
      <c r="T1253" s="7"/>
      <c r="U1253" s="7"/>
      <c r="V1253" s="7"/>
      <c r="W1253" s="7"/>
      <c r="X1253" s="7">
        <v>3</v>
      </c>
      <c r="Y1253" s="7"/>
      <c r="Z1253" s="7"/>
      <c r="AA1253" s="7"/>
      <c r="AB1253" s="7">
        <f>(U1253+X1253+Z1253)/3</f>
        <v>1</v>
      </c>
      <c r="AC1253" s="7">
        <f t="shared" si="95"/>
        <v>1</v>
      </c>
      <c r="AD1253" s="7"/>
      <c r="AE1253" s="7"/>
      <c r="AF1253" s="7"/>
      <c r="AG1253" s="7"/>
      <c r="AH1253" s="7"/>
      <c r="AI1253" s="7"/>
      <c r="AJ1253" s="7"/>
      <c r="AK1253" s="7"/>
      <c r="AL1253" s="9"/>
      <c r="AM1253" s="7" t="s">
        <v>71</v>
      </c>
      <c r="AN1253" s="7" t="s">
        <v>71</v>
      </c>
      <c r="AO1253" s="12"/>
    </row>
    <row r="1254" spans="1:41" s="11" customFormat="1" x14ac:dyDescent="0.25">
      <c r="A1254" s="2">
        <v>1253</v>
      </c>
      <c r="B1254" s="7" t="s">
        <v>1079</v>
      </c>
      <c r="C1254" s="7" t="s">
        <v>119</v>
      </c>
      <c r="D1254" s="7">
        <v>7</v>
      </c>
      <c r="E1254" s="7">
        <v>7</v>
      </c>
      <c r="F1254" s="8">
        <v>1</v>
      </c>
      <c r="G1254" s="8">
        <v>2</v>
      </c>
      <c r="H1254" s="7">
        <v>2</v>
      </c>
      <c r="I1254" s="7">
        <v>2</v>
      </c>
      <c r="J1254" s="9" t="s">
        <v>35</v>
      </c>
      <c r="K1254" s="7">
        <v>1</v>
      </c>
      <c r="L1254" s="7" t="s">
        <v>52</v>
      </c>
      <c r="M1254" s="7">
        <f t="shared" si="94"/>
        <v>1</v>
      </c>
      <c r="N1254" s="9" t="s">
        <v>36</v>
      </c>
      <c r="O1254" s="7">
        <v>0</v>
      </c>
      <c r="P1254" s="9" t="s">
        <v>63</v>
      </c>
      <c r="Q1254" s="7"/>
      <c r="R1254" s="7" t="s">
        <v>38</v>
      </c>
      <c r="S1254" s="10" t="s">
        <v>2116</v>
      </c>
      <c r="T1254" s="7"/>
      <c r="U1254" s="7"/>
      <c r="V1254" s="7"/>
      <c r="W1254" s="7"/>
      <c r="X1254" s="7"/>
      <c r="Y1254" s="7"/>
      <c r="Z1254" s="7"/>
      <c r="AA1254" s="7"/>
      <c r="AB1254" s="7">
        <v>0.33333333333333298</v>
      </c>
      <c r="AC1254" s="7">
        <f t="shared" si="95"/>
        <v>0.33333333333333298</v>
      </c>
      <c r="AD1254" s="7">
        <v>1</v>
      </c>
      <c r="AE1254" s="7"/>
      <c r="AF1254" s="7" t="s">
        <v>40</v>
      </c>
      <c r="AG1254" s="7" t="s">
        <v>1084</v>
      </c>
      <c r="AH1254" s="7"/>
      <c r="AI1254" s="7"/>
      <c r="AJ1254" s="7"/>
      <c r="AK1254" s="7"/>
      <c r="AL1254" s="9"/>
      <c r="AM1254" s="7" t="s">
        <v>71</v>
      </c>
      <c r="AN1254" s="7" t="s">
        <v>71</v>
      </c>
      <c r="AO1254" s="15" t="s">
        <v>2669</v>
      </c>
    </row>
    <row r="1255" spans="1:41" s="11" customFormat="1" x14ac:dyDescent="0.25">
      <c r="A1255" s="2">
        <v>1254</v>
      </c>
      <c r="B1255" s="7" t="s">
        <v>1079</v>
      </c>
      <c r="C1255" s="7" t="s">
        <v>50</v>
      </c>
      <c r="D1255" s="7">
        <v>112</v>
      </c>
      <c r="E1255" s="7">
        <v>112</v>
      </c>
      <c r="F1255" s="8">
        <v>1</v>
      </c>
      <c r="G1255" s="8">
        <v>2</v>
      </c>
      <c r="H1255" s="7">
        <v>2</v>
      </c>
      <c r="I1255" s="7">
        <v>2</v>
      </c>
      <c r="J1255" s="9" t="s">
        <v>35</v>
      </c>
      <c r="K1255" s="7">
        <v>2</v>
      </c>
      <c r="L1255" s="7" t="s">
        <v>52</v>
      </c>
      <c r="M1255" s="7">
        <f t="shared" si="94"/>
        <v>1</v>
      </c>
      <c r="N1255" s="9" t="s">
        <v>34</v>
      </c>
      <c r="O1255" s="7">
        <v>1</v>
      </c>
      <c r="P1255" s="9" t="s">
        <v>33</v>
      </c>
      <c r="Q1255" s="7" t="s">
        <v>38</v>
      </c>
      <c r="R1255" s="7"/>
      <c r="S1255" s="10" t="s">
        <v>2117</v>
      </c>
      <c r="T1255" s="7"/>
      <c r="U1255" s="7"/>
      <c r="V1255" s="7"/>
      <c r="W1255" s="7"/>
      <c r="X1255" s="7"/>
      <c r="Y1255" s="7">
        <v>30</v>
      </c>
      <c r="Z1255" s="7">
        <v>30</v>
      </c>
      <c r="AA1255" s="7">
        <v>120</v>
      </c>
      <c r="AB1255" s="7">
        <f t="shared" ref="AB1255:AB1264" si="98">(U1255+X1255+Z1255)/3</f>
        <v>10</v>
      </c>
      <c r="AC1255" s="7">
        <f t="shared" si="95"/>
        <v>10</v>
      </c>
      <c r="AD1255" s="7"/>
      <c r="AE1255" s="7"/>
      <c r="AF1255" s="7"/>
      <c r="AG1255" s="7"/>
      <c r="AH1255" s="7"/>
      <c r="AI1255" s="10" t="s">
        <v>2307</v>
      </c>
      <c r="AJ1255" s="10" t="s">
        <v>2398</v>
      </c>
      <c r="AK1255" s="7"/>
      <c r="AL1255" s="9"/>
      <c r="AM1255" s="7" t="s">
        <v>60</v>
      </c>
      <c r="AN1255" s="7" t="s">
        <v>2845</v>
      </c>
      <c r="AO1255" s="15" t="s">
        <v>2670</v>
      </c>
    </row>
    <row r="1256" spans="1:41" s="11" customFormat="1" x14ac:dyDescent="0.25">
      <c r="A1256" s="2">
        <v>1255</v>
      </c>
      <c r="B1256" s="7" t="s">
        <v>1079</v>
      </c>
      <c r="C1256" s="7" t="s">
        <v>50</v>
      </c>
      <c r="D1256" s="7">
        <v>11</v>
      </c>
      <c r="E1256" s="7">
        <v>11</v>
      </c>
      <c r="F1256" s="8">
        <v>1</v>
      </c>
      <c r="G1256" s="8">
        <v>1</v>
      </c>
      <c r="H1256" s="7">
        <v>1</v>
      </c>
      <c r="I1256" s="7">
        <v>1</v>
      </c>
      <c r="J1256" s="9" t="s">
        <v>70</v>
      </c>
      <c r="K1256" s="7">
        <v>1</v>
      </c>
      <c r="L1256" s="7" t="s">
        <v>52</v>
      </c>
      <c r="M1256" s="7">
        <f t="shared" si="94"/>
        <v>1</v>
      </c>
      <c r="N1256" s="9" t="s">
        <v>36</v>
      </c>
      <c r="O1256" s="7">
        <v>0</v>
      </c>
      <c r="P1256" s="9" t="s">
        <v>33</v>
      </c>
      <c r="Q1256" s="7" t="s">
        <v>38</v>
      </c>
      <c r="R1256" s="7" t="s">
        <v>38</v>
      </c>
      <c r="S1256" s="10" t="s">
        <v>2118</v>
      </c>
      <c r="T1256" s="7"/>
      <c r="U1256" s="7"/>
      <c r="V1256" s="7"/>
      <c r="W1256" s="7"/>
      <c r="X1256" s="7"/>
      <c r="Y1256" s="7">
        <v>10</v>
      </c>
      <c r="Z1256" s="7">
        <v>10</v>
      </c>
      <c r="AA1256" s="7">
        <v>70</v>
      </c>
      <c r="AB1256" s="7">
        <f t="shared" si="98"/>
        <v>3.3333333333333335</v>
      </c>
      <c r="AC1256" s="7">
        <f t="shared" si="95"/>
        <v>3.3333333333333335</v>
      </c>
      <c r="AD1256" s="7"/>
      <c r="AE1256" s="7"/>
      <c r="AF1256" s="7"/>
      <c r="AG1256" s="7"/>
      <c r="AH1256" s="7"/>
      <c r="AI1256" s="7"/>
      <c r="AJ1256" s="7"/>
      <c r="AK1256" s="7"/>
      <c r="AL1256" s="9"/>
      <c r="AM1256" s="7" t="s">
        <v>42</v>
      </c>
      <c r="AN1256" s="7" t="s">
        <v>42</v>
      </c>
      <c r="AO1256" s="12"/>
    </row>
    <row r="1257" spans="1:41" s="11" customFormat="1" ht="24" x14ac:dyDescent="0.25">
      <c r="A1257" s="2">
        <v>1256</v>
      </c>
      <c r="B1257" s="7" t="s">
        <v>1079</v>
      </c>
      <c r="C1257" s="7" t="s">
        <v>78</v>
      </c>
      <c r="D1257" s="7">
        <v>2</v>
      </c>
      <c r="E1257" s="7">
        <v>2</v>
      </c>
      <c r="F1257" s="8">
        <v>1</v>
      </c>
      <c r="G1257" s="8">
        <v>1</v>
      </c>
      <c r="H1257" s="7">
        <v>1</v>
      </c>
      <c r="I1257" s="7">
        <v>1</v>
      </c>
      <c r="J1257" s="9" t="s">
        <v>35</v>
      </c>
      <c r="K1257" s="7">
        <v>1</v>
      </c>
      <c r="L1257" s="7" t="s">
        <v>52</v>
      </c>
      <c r="M1257" s="7">
        <f t="shared" si="94"/>
        <v>1</v>
      </c>
      <c r="N1257" s="9" t="s">
        <v>36</v>
      </c>
      <c r="O1257" s="7">
        <v>0</v>
      </c>
      <c r="P1257" s="9" t="s">
        <v>33</v>
      </c>
      <c r="Q1257" s="7" t="s">
        <v>38</v>
      </c>
      <c r="R1257" s="7" t="s">
        <v>38</v>
      </c>
      <c r="S1257" s="10" t="s">
        <v>2119</v>
      </c>
      <c r="T1257" s="7">
        <v>5</v>
      </c>
      <c r="U1257" s="7">
        <v>5</v>
      </c>
      <c r="V1257" s="7">
        <v>140</v>
      </c>
      <c r="W1257" s="7" t="s">
        <v>83</v>
      </c>
      <c r="X1257" s="7"/>
      <c r="Y1257" s="7"/>
      <c r="Z1257" s="7"/>
      <c r="AA1257" s="7"/>
      <c r="AB1257" s="7">
        <f t="shared" si="98"/>
        <v>1.6666666666666667</v>
      </c>
      <c r="AC1257" s="7">
        <f t="shared" si="95"/>
        <v>1.6666666666666667</v>
      </c>
      <c r="AD1257" s="7"/>
      <c r="AE1257" s="7"/>
      <c r="AF1257" s="7"/>
      <c r="AG1257" s="7"/>
      <c r="AH1257" s="7"/>
      <c r="AI1257" s="7"/>
      <c r="AJ1257" s="7"/>
      <c r="AK1257" s="7"/>
      <c r="AL1257" s="9"/>
      <c r="AM1257" s="7" t="s">
        <v>71</v>
      </c>
      <c r="AN1257" s="7" t="s">
        <v>71</v>
      </c>
      <c r="AO1257" s="15" t="s">
        <v>2671</v>
      </c>
    </row>
    <row r="1258" spans="1:41" s="11" customFormat="1" x14ac:dyDescent="0.25">
      <c r="A1258" s="2">
        <v>1257</v>
      </c>
      <c r="B1258" s="7" t="s">
        <v>1079</v>
      </c>
      <c r="C1258" s="7" t="s">
        <v>104</v>
      </c>
      <c r="D1258" s="7">
        <v>8</v>
      </c>
      <c r="E1258" s="7">
        <v>8</v>
      </c>
      <c r="F1258" s="8">
        <v>1</v>
      </c>
      <c r="G1258" s="8">
        <v>1</v>
      </c>
      <c r="H1258" s="7">
        <v>1</v>
      </c>
      <c r="I1258" s="7">
        <v>1</v>
      </c>
      <c r="J1258" s="9" t="s">
        <v>35</v>
      </c>
      <c r="K1258" s="7">
        <v>2</v>
      </c>
      <c r="L1258" s="7" t="s">
        <v>52</v>
      </c>
      <c r="M1258" s="7">
        <f t="shared" si="94"/>
        <v>1</v>
      </c>
      <c r="N1258" s="9" t="s">
        <v>36</v>
      </c>
      <c r="O1258" s="7">
        <v>0</v>
      </c>
      <c r="P1258" s="9" t="s">
        <v>63</v>
      </c>
      <c r="Q1258" s="7" t="s">
        <v>38</v>
      </c>
      <c r="R1258" s="7" t="s">
        <v>38</v>
      </c>
      <c r="S1258" s="10" t="s">
        <v>2120</v>
      </c>
      <c r="T1258" s="7"/>
      <c r="U1258" s="7"/>
      <c r="V1258" s="7"/>
      <c r="W1258" s="7"/>
      <c r="X1258" s="7">
        <v>3</v>
      </c>
      <c r="Y1258" s="7"/>
      <c r="Z1258" s="7"/>
      <c r="AA1258" s="7"/>
      <c r="AB1258" s="7">
        <f t="shared" si="98"/>
        <v>1</v>
      </c>
      <c r="AC1258" s="7">
        <f t="shared" si="95"/>
        <v>1</v>
      </c>
      <c r="AD1258" s="7"/>
      <c r="AE1258" s="7">
        <v>1</v>
      </c>
      <c r="AF1258" s="7" t="s">
        <v>40</v>
      </c>
      <c r="AG1258" s="7" t="s">
        <v>1081</v>
      </c>
      <c r="AH1258" s="7" t="s">
        <v>38</v>
      </c>
      <c r="AI1258" s="7"/>
      <c r="AJ1258" s="7"/>
      <c r="AK1258" s="7"/>
      <c r="AL1258" s="9"/>
      <c r="AM1258" s="7" t="s">
        <v>71</v>
      </c>
      <c r="AN1258" s="7" t="s">
        <v>71</v>
      </c>
      <c r="AO1258" s="15" t="s">
        <v>2672</v>
      </c>
    </row>
    <row r="1259" spans="1:41" s="11" customFormat="1" x14ac:dyDescent="0.25">
      <c r="A1259" s="2">
        <v>1258</v>
      </c>
      <c r="B1259" s="7" t="s">
        <v>1079</v>
      </c>
      <c r="C1259" s="7" t="s">
        <v>100</v>
      </c>
      <c r="D1259" s="7">
        <v>4</v>
      </c>
      <c r="E1259" s="7">
        <v>4</v>
      </c>
      <c r="F1259" s="8">
        <v>1</v>
      </c>
      <c r="G1259" s="8">
        <v>1</v>
      </c>
      <c r="H1259" s="7">
        <v>1</v>
      </c>
      <c r="I1259" s="7">
        <v>1</v>
      </c>
      <c r="J1259" s="9" t="s">
        <v>35</v>
      </c>
      <c r="K1259" s="7">
        <v>1</v>
      </c>
      <c r="L1259" s="7" t="s">
        <v>52</v>
      </c>
      <c r="M1259" s="7">
        <f t="shared" si="94"/>
        <v>1</v>
      </c>
      <c r="N1259" s="9"/>
      <c r="O1259" s="7"/>
      <c r="P1259" s="9"/>
      <c r="Q1259" s="7"/>
      <c r="R1259" s="7"/>
      <c r="S1259" s="7"/>
      <c r="T1259" s="7"/>
      <c r="U1259" s="7"/>
      <c r="V1259" s="7"/>
      <c r="W1259" s="7"/>
      <c r="X1259" s="7">
        <v>3</v>
      </c>
      <c r="Y1259" s="7"/>
      <c r="Z1259" s="7"/>
      <c r="AA1259" s="7"/>
      <c r="AB1259" s="7">
        <f t="shared" si="98"/>
        <v>1</v>
      </c>
      <c r="AC1259" s="7">
        <f t="shared" si="95"/>
        <v>1</v>
      </c>
      <c r="AD1259" s="7"/>
      <c r="AE1259" s="7"/>
      <c r="AF1259" s="7"/>
      <c r="AG1259" s="7"/>
      <c r="AH1259" s="7"/>
      <c r="AI1259" s="7"/>
      <c r="AJ1259" s="7"/>
      <c r="AK1259" s="7"/>
      <c r="AL1259" s="9"/>
      <c r="AM1259" s="7" t="s">
        <v>71</v>
      </c>
      <c r="AN1259" s="7" t="s">
        <v>71</v>
      </c>
      <c r="AO1259" s="12"/>
    </row>
    <row r="1260" spans="1:41" s="11" customFormat="1" ht="24" x14ac:dyDescent="0.25">
      <c r="A1260" s="2">
        <v>1259</v>
      </c>
      <c r="B1260" s="7" t="s">
        <v>1079</v>
      </c>
      <c r="C1260" s="7" t="s">
        <v>50</v>
      </c>
      <c r="D1260" s="7">
        <v>78</v>
      </c>
      <c r="E1260" s="7">
        <v>78</v>
      </c>
      <c r="F1260" s="8">
        <v>1</v>
      </c>
      <c r="G1260" s="8">
        <v>2</v>
      </c>
      <c r="H1260" s="7">
        <v>1</v>
      </c>
      <c r="I1260" s="7">
        <v>1</v>
      </c>
      <c r="J1260" s="9" t="s">
        <v>35</v>
      </c>
      <c r="K1260" s="7">
        <v>2</v>
      </c>
      <c r="L1260" s="7" t="s">
        <v>52</v>
      </c>
      <c r="M1260" s="7">
        <f t="shared" si="94"/>
        <v>1</v>
      </c>
      <c r="N1260" s="9" t="s">
        <v>34</v>
      </c>
      <c r="O1260" s="7">
        <v>0</v>
      </c>
      <c r="P1260" s="9" t="s">
        <v>36</v>
      </c>
      <c r="Q1260" s="7" t="s">
        <v>38</v>
      </c>
      <c r="R1260" s="7" t="s">
        <v>38</v>
      </c>
      <c r="S1260" s="10" t="s">
        <v>2121</v>
      </c>
      <c r="T1260" s="7"/>
      <c r="U1260" s="7"/>
      <c r="V1260" s="7"/>
      <c r="W1260" s="7"/>
      <c r="X1260" s="7"/>
      <c r="Y1260" s="7">
        <v>20</v>
      </c>
      <c r="Z1260" s="7">
        <v>20</v>
      </c>
      <c r="AA1260" s="7">
        <v>140</v>
      </c>
      <c r="AB1260" s="7">
        <f t="shared" si="98"/>
        <v>6.666666666666667</v>
      </c>
      <c r="AC1260" s="7">
        <f t="shared" si="95"/>
        <v>6.666666666666667</v>
      </c>
      <c r="AD1260" s="7"/>
      <c r="AE1260" s="7"/>
      <c r="AF1260" s="7"/>
      <c r="AG1260" s="7"/>
      <c r="AH1260" s="7"/>
      <c r="AI1260" s="7"/>
      <c r="AJ1260" s="10" t="s">
        <v>2399</v>
      </c>
      <c r="AK1260" s="7"/>
      <c r="AL1260" s="9"/>
      <c r="AM1260" s="7" t="s">
        <v>1044</v>
      </c>
      <c r="AN1260" s="7" t="s">
        <v>2848</v>
      </c>
      <c r="AO1260" s="15" t="s">
        <v>2673</v>
      </c>
    </row>
    <row r="1261" spans="1:41" s="11" customFormat="1" x14ac:dyDescent="0.25">
      <c r="A1261" s="2">
        <v>1260</v>
      </c>
      <c r="B1261" s="7" t="s">
        <v>1079</v>
      </c>
      <c r="C1261" s="7" t="s">
        <v>100</v>
      </c>
      <c r="D1261" s="7">
        <v>8</v>
      </c>
      <c r="E1261" s="7">
        <v>8</v>
      </c>
      <c r="F1261" s="8">
        <v>1</v>
      </c>
      <c r="G1261" s="8">
        <v>1</v>
      </c>
      <c r="H1261" s="7">
        <v>1</v>
      </c>
      <c r="I1261" s="7">
        <v>1</v>
      </c>
      <c r="J1261" s="9" t="s">
        <v>35</v>
      </c>
      <c r="K1261" s="7">
        <v>1</v>
      </c>
      <c r="L1261" s="7" t="s">
        <v>52</v>
      </c>
      <c r="M1261" s="7">
        <f t="shared" si="94"/>
        <v>1</v>
      </c>
      <c r="N1261" s="9"/>
      <c r="O1261" s="7"/>
      <c r="P1261" s="9"/>
      <c r="Q1261" s="7"/>
      <c r="R1261" s="7"/>
      <c r="S1261" s="7"/>
      <c r="T1261" s="7"/>
      <c r="U1261" s="7"/>
      <c r="V1261" s="7"/>
      <c r="W1261" s="7"/>
      <c r="X1261" s="7">
        <v>3</v>
      </c>
      <c r="Y1261" s="7"/>
      <c r="Z1261" s="7"/>
      <c r="AA1261" s="7"/>
      <c r="AB1261" s="7">
        <f t="shared" si="98"/>
        <v>1</v>
      </c>
      <c r="AC1261" s="7">
        <f t="shared" si="95"/>
        <v>1</v>
      </c>
      <c r="AD1261" s="7"/>
      <c r="AE1261" s="7"/>
      <c r="AF1261" s="7"/>
      <c r="AG1261" s="7"/>
      <c r="AH1261" s="7"/>
      <c r="AI1261" s="7"/>
      <c r="AJ1261" s="7"/>
      <c r="AK1261" s="7"/>
      <c r="AL1261" s="9"/>
      <c r="AM1261" s="7" t="s">
        <v>71</v>
      </c>
      <c r="AN1261" s="7" t="s">
        <v>71</v>
      </c>
      <c r="AO1261" s="15" t="s">
        <v>2601</v>
      </c>
    </row>
    <row r="1262" spans="1:41" s="11" customFormat="1" x14ac:dyDescent="0.25">
      <c r="A1262" s="2">
        <v>1261</v>
      </c>
      <c r="B1262" s="7" t="s">
        <v>1079</v>
      </c>
      <c r="C1262" s="7" t="s">
        <v>100</v>
      </c>
      <c r="D1262" s="7">
        <v>1</v>
      </c>
      <c r="E1262" s="7">
        <v>1</v>
      </c>
      <c r="F1262" s="8">
        <v>1</v>
      </c>
      <c r="G1262" s="8">
        <v>1</v>
      </c>
      <c r="H1262" s="7">
        <v>1</v>
      </c>
      <c r="I1262" s="7">
        <v>1</v>
      </c>
      <c r="J1262" s="9" t="s">
        <v>35</v>
      </c>
      <c r="K1262" s="7">
        <v>2</v>
      </c>
      <c r="L1262" s="7" t="s">
        <v>52</v>
      </c>
      <c r="M1262" s="7">
        <f t="shared" si="94"/>
        <v>1</v>
      </c>
      <c r="N1262" s="9"/>
      <c r="O1262" s="7"/>
      <c r="P1262" s="9"/>
      <c r="Q1262" s="7"/>
      <c r="R1262" s="7"/>
      <c r="S1262" s="7"/>
      <c r="T1262" s="7"/>
      <c r="U1262" s="7"/>
      <c r="V1262" s="7"/>
      <c r="W1262" s="7"/>
      <c r="X1262" s="7">
        <v>3</v>
      </c>
      <c r="Y1262" s="7"/>
      <c r="Z1262" s="7"/>
      <c r="AA1262" s="7"/>
      <c r="AB1262" s="7">
        <f t="shared" si="98"/>
        <v>1</v>
      </c>
      <c r="AC1262" s="7">
        <f t="shared" si="95"/>
        <v>1</v>
      </c>
      <c r="AD1262" s="7"/>
      <c r="AE1262" s="7"/>
      <c r="AF1262" s="7"/>
      <c r="AG1262" s="7"/>
      <c r="AH1262" s="7"/>
      <c r="AI1262" s="7"/>
      <c r="AJ1262" s="7"/>
      <c r="AK1262" s="7"/>
      <c r="AL1262" s="9"/>
      <c r="AM1262" s="7" t="s">
        <v>71</v>
      </c>
      <c r="AN1262" s="7" t="s">
        <v>71</v>
      </c>
      <c r="AO1262" s="15" t="s">
        <v>2601</v>
      </c>
    </row>
    <row r="1263" spans="1:41" s="11" customFormat="1" ht="24" x14ac:dyDescent="0.25">
      <c r="A1263" s="2">
        <v>1262</v>
      </c>
      <c r="B1263" s="7" t="s">
        <v>1079</v>
      </c>
      <c r="C1263" s="7" t="s">
        <v>78</v>
      </c>
      <c r="D1263" s="7">
        <v>9</v>
      </c>
      <c r="E1263" s="7">
        <v>9</v>
      </c>
      <c r="F1263" s="8">
        <v>1</v>
      </c>
      <c r="G1263" s="8">
        <v>1</v>
      </c>
      <c r="H1263" s="7">
        <v>1</v>
      </c>
      <c r="I1263" s="7">
        <v>1</v>
      </c>
      <c r="J1263" s="9" t="s">
        <v>35</v>
      </c>
      <c r="K1263" s="7">
        <v>1</v>
      </c>
      <c r="L1263" s="7" t="s">
        <v>52</v>
      </c>
      <c r="M1263" s="7">
        <f t="shared" si="94"/>
        <v>1</v>
      </c>
      <c r="N1263" s="9" t="s">
        <v>34</v>
      </c>
      <c r="O1263" s="7">
        <v>0</v>
      </c>
      <c r="P1263" s="9" t="s">
        <v>37</v>
      </c>
      <c r="Q1263" s="7" t="s">
        <v>38</v>
      </c>
      <c r="R1263" s="7" t="s">
        <v>38</v>
      </c>
      <c r="S1263" s="10" t="s">
        <v>1922</v>
      </c>
      <c r="T1263" s="7">
        <v>6</v>
      </c>
      <c r="U1263" s="7">
        <v>6</v>
      </c>
      <c r="V1263" s="7">
        <v>110</v>
      </c>
      <c r="W1263" s="7" t="s">
        <v>83</v>
      </c>
      <c r="X1263" s="7"/>
      <c r="Y1263" s="7"/>
      <c r="Z1263" s="7"/>
      <c r="AA1263" s="7"/>
      <c r="AB1263" s="7">
        <f t="shared" si="98"/>
        <v>2</v>
      </c>
      <c r="AC1263" s="7">
        <f t="shared" si="95"/>
        <v>2</v>
      </c>
      <c r="AD1263" s="7"/>
      <c r="AE1263" s="7"/>
      <c r="AF1263" s="7"/>
      <c r="AG1263" s="7"/>
      <c r="AH1263" s="7"/>
      <c r="AI1263" s="7"/>
      <c r="AJ1263" s="7"/>
      <c r="AK1263" s="7" t="s">
        <v>600</v>
      </c>
      <c r="AL1263" s="9"/>
      <c r="AM1263" s="7" t="s">
        <v>42</v>
      </c>
      <c r="AN1263" s="7" t="s">
        <v>42</v>
      </c>
      <c r="AO1263" s="15" t="s">
        <v>2631</v>
      </c>
    </row>
    <row r="1264" spans="1:41" s="11" customFormat="1" x14ac:dyDescent="0.25">
      <c r="A1264" s="2">
        <v>1263</v>
      </c>
      <c r="B1264" s="7" t="s">
        <v>1079</v>
      </c>
      <c r="C1264" s="7" t="s">
        <v>78</v>
      </c>
      <c r="D1264" s="7">
        <v>3</v>
      </c>
      <c r="E1264" s="7">
        <v>3</v>
      </c>
      <c r="F1264" s="8">
        <v>1</v>
      </c>
      <c r="G1264" s="8">
        <v>1</v>
      </c>
      <c r="H1264" s="7">
        <v>1</v>
      </c>
      <c r="I1264" s="7">
        <v>1</v>
      </c>
      <c r="J1264" s="9" t="s">
        <v>35</v>
      </c>
      <c r="K1264" s="7">
        <v>1</v>
      </c>
      <c r="L1264" s="7" t="s">
        <v>52</v>
      </c>
      <c r="M1264" s="7">
        <f t="shared" si="94"/>
        <v>1</v>
      </c>
      <c r="N1264" s="9" t="s">
        <v>34</v>
      </c>
      <c r="O1264" s="7">
        <v>0</v>
      </c>
      <c r="P1264" s="9" t="s">
        <v>34</v>
      </c>
      <c r="Q1264" s="7" t="s">
        <v>38</v>
      </c>
      <c r="R1264" s="7" t="s">
        <v>38</v>
      </c>
      <c r="S1264" s="7"/>
      <c r="T1264" s="7">
        <v>15</v>
      </c>
      <c r="U1264" s="7">
        <v>15</v>
      </c>
      <c r="V1264" s="7">
        <v>65</v>
      </c>
      <c r="W1264" s="7" t="s">
        <v>88</v>
      </c>
      <c r="X1264" s="7"/>
      <c r="Y1264" s="7"/>
      <c r="Z1264" s="7"/>
      <c r="AA1264" s="7"/>
      <c r="AB1264" s="7">
        <f t="shared" si="98"/>
        <v>5</v>
      </c>
      <c r="AC1264" s="7">
        <f t="shared" si="95"/>
        <v>5</v>
      </c>
      <c r="AD1264" s="7"/>
      <c r="AE1264" s="7"/>
      <c r="AF1264" s="7"/>
      <c r="AG1264" s="7"/>
      <c r="AH1264" s="7"/>
      <c r="AI1264" s="7"/>
      <c r="AJ1264" s="7"/>
      <c r="AK1264" s="7"/>
      <c r="AL1264" s="9"/>
      <c r="AM1264" s="7" t="s">
        <v>42</v>
      </c>
      <c r="AN1264" s="7" t="s">
        <v>42</v>
      </c>
      <c r="AO1264" s="12"/>
    </row>
    <row r="1265" spans="1:41" s="11" customFormat="1" x14ac:dyDescent="0.25">
      <c r="A1265" s="2">
        <v>1264</v>
      </c>
      <c r="B1265" s="7" t="s">
        <v>1079</v>
      </c>
      <c r="C1265" s="7" t="s">
        <v>119</v>
      </c>
      <c r="D1265" s="7" t="s">
        <v>699</v>
      </c>
      <c r="E1265" s="7">
        <v>13</v>
      </c>
      <c r="F1265" s="8">
        <v>1</v>
      </c>
      <c r="G1265" s="8">
        <v>2</v>
      </c>
      <c r="H1265" s="7">
        <v>2</v>
      </c>
      <c r="I1265" s="7">
        <v>2</v>
      </c>
      <c r="J1265" s="9" t="s">
        <v>35</v>
      </c>
      <c r="K1265" s="7">
        <v>1</v>
      </c>
      <c r="L1265" s="7" t="s">
        <v>52</v>
      </c>
      <c r="M1265" s="7">
        <f t="shared" si="94"/>
        <v>1</v>
      </c>
      <c r="N1265" s="9" t="s">
        <v>34</v>
      </c>
      <c r="O1265" s="7">
        <v>0</v>
      </c>
      <c r="P1265" s="9" t="s">
        <v>63</v>
      </c>
      <c r="Q1265" s="7"/>
      <c r="R1265" s="7" t="s">
        <v>38</v>
      </c>
      <c r="S1265" s="10" t="s">
        <v>2122</v>
      </c>
      <c r="T1265" s="7"/>
      <c r="U1265" s="7"/>
      <c r="V1265" s="7"/>
      <c r="W1265" s="7"/>
      <c r="X1265" s="7"/>
      <c r="Y1265" s="7"/>
      <c r="Z1265" s="7"/>
      <c r="AA1265" s="7"/>
      <c r="AB1265" s="7">
        <v>0.33333333333333298</v>
      </c>
      <c r="AC1265" s="7">
        <f t="shared" si="95"/>
        <v>0.33333333333333298</v>
      </c>
      <c r="AD1265" s="7">
        <v>1</v>
      </c>
      <c r="AE1265" s="7"/>
      <c r="AF1265" s="7" t="s">
        <v>40</v>
      </c>
      <c r="AG1265" s="7" t="s">
        <v>1025</v>
      </c>
      <c r="AH1265" s="7"/>
      <c r="AI1265" s="7"/>
      <c r="AJ1265" s="7"/>
      <c r="AK1265" s="7"/>
      <c r="AL1265" s="9"/>
      <c r="AM1265" s="7" t="s">
        <v>71</v>
      </c>
      <c r="AN1265" s="7" t="s">
        <v>71</v>
      </c>
      <c r="AO1265" s="12"/>
    </row>
    <row r="1266" spans="1:41" s="11" customFormat="1" x14ac:dyDescent="0.25">
      <c r="A1266" s="2">
        <v>1265</v>
      </c>
      <c r="B1266" s="7" t="s">
        <v>1079</v>
      </c>
      <c r="C1266" s="7" t="s">
        <v>115</v>
      </c>
      <c r="D1266" s="7" t="s">
        <v>130</v>
      </c>
      <c r="E1266" s="7">
        <v>9</v>
      </c>
      <c r="F1266" s="8">
        <v>2</v>
      </c>
      <c r="G1266" s="8">
        <v>2</v>
      </c>
      <c r="H1266" s="7" t="s">
        <v>87</v>
      </c>
      <c r="I1266" s="7">
        <v>2</v>
      </c>
      <c r="J1266" s="9" t="s">
        <v>35</v>
      </c>
      <c r="K1266" s="9" t="s">
        <v>33</v>
      </c>
      <c r="L1266" s="7" t="s">
        <v>52</v>
      </c>
      <c r="M1266" s="7">
        <f t="shared" si="94"/>
        <v>2</v>
      </c>
      <c r="N1266" s="9" t="s">
        <v>34</v>
      </c>
      <c r="O1266" s="7">
        <v>0</v>
      </c>
      <c r="P1266" s="9" t="s">
        <v>63</v>
      </c>
      <c r="Q1266" s="7"/>
      <c r="R1266" s="7" t="s">
        <v>38</v>
      </c>
      <c r="S1266" s="10" t="s">
        <v>2123</v>
      </c>
      <c r="T1266" s="7"/>
      <c r="U1266" s="7"/>
      <c r="V1266" s="7"/>
      <c r="W1266" s="7"/>
      <c r="X1266" s="7"/>
      <c r="Y1266" s="7"/>
      <c r="Z1266" s="7"/>
      <c r="AA1266" s="7"/>
      <c r="AB1266" s="7">
        <v>0.33333333333333298</v>
      </c>
      <c r="AC1266" s="7">
        <f t="shared" si="95"/>
        <v>0.33333333333333298</v>
      </c>
      <c r="AD1266" s="7">
        <v>2</v>
      </c>
      <c r="AE1266" s="7"/>
      <c r="AF1266" s="7" t="s">
        <v>40</v>
      </c>
      <c r="AG1266" s="7" t="s">
        <v>742</v>
      </c>
      <c r="AH1266" s="7"/>
      <c r="AI1266" s="7"/>
      <c r="AJ1266" s="7"/>
      <c r="AK1266" s="7"/>
      <c r="AL1266" s="9"/>
      <c r="AM1266" s="7" t="s">
        <v>71</v>
      </c>
      <c r="AN1266" s="7" t="s">
        <v>71</v>
      </c>
      <c r="AO1266" s="15" t="s">
        <v>2674</v>
      </c>
    </row>
    <row r="1267" spans="1:41" s="11" customFormat="1" x14ac:dyDescent="0.25">
      <c r="A1267" s="2">
        <v>1266</v>
      </c>
      <c r="B1267" s="7" t="s">
        <v>1079</v>
      </c>
      <c r="C1267" s="7" t="s">
        <v>119</v>
      </c>
      <c r="D1267" s="7">
        <v>4</v>
      </c>
      <c r="E1267" s="7">
        <v>4</v>
      </c>
      <c r="F1267" s="8">
        <v>1</v>
      </c>
      <c r="G1267" s="8">
        <v>1</v>
      </c>
      <c r="H1267" s="7">
        <v>1</v>
      </c>
      <c r="I1267" s="7">
        <v>1</v>
      </c>
      <c r="J1267" s="9" t="s">
        <v>35</v>
      </c>
      <c r="K1267" s="7">
        <v>1</v>
      </c>
      <c r="L1267" s="7" t="s">
        <v>52</v>
      </c>
      <c r="M1267" s="7">
        <f t="shared" si="94"/>
        <v>1</v>
      </c>
      <c r="N1267" s="9" t="s">
        <v>36</v>
      </c>
      <c r="O1267" s="7">
        <v>0</v>
      </c>
      <c r="P1267" s="9" t="s">
        <v>63</v>
      </c>
      <c r="Q1267" s="7"/>
      <c r="R1267" s="7" t="s">
        <v>38</v>
      </c>
      <c r="S1267" s="10" t="s">
        <v>2124</v>
      </c>
      <c r="T1267" s="7"/>
      <c r="U1267" s="7"/>
      <c r="V1267" s="7"/>
      <c r="W1267" s="7"/>
      <c r="X1267" s="7"/>
      <c r="Y1267" s="7"/>
      <c r="Z1267" s="7"/>
      <c r="AA1267" s="7"/>
      <c r="AB1267" s="7">
        <v>0.33333333333333298</v>
      </c>
      <c r="AC1267" s="7">
        <f t="shared" si="95"/>
        <v>0.33333333333333298</v>
      </c>
      <c r="AD1267" s="7">
        <v>1</v>
      </c>
      <c r="AE1267" s="7"/>
      <c r="AF1267" s="7" t="s">
        <v>40</v>
      </c>
      <c r="AG1267" s="7" t="s">
        <v>1085</v>
      </c>
      <c r="AH1267" s="7"/>
      <c r="AI1267" s="7"/>
      <c r="AJ1267" s="7"/>
      <c r="AK1267" s="7"/>
      <c r="AL1267" s="9"/>
      <c r="AM1267" s="7" t="s">
        <v>71</v>
      </c>
      <c r="AN1267" s="7" t="s">
        <v>71</v>
      </c>
      <c r="AO1267" s="15" t="s">
        <v>2675</v>
      </c>
    </row>
    <row r="1268" spans="1:41" s="11" customFormat="1" ht="24" x14ac:dyDescent="0.25">
      <c r="A1268" s="2">
        <v>1267</v>
      </c>
      <c r="B1268" s="7" t="s">
        <v>1079</v>
      </c>
      <c r="C1268" s="7" t="s">
        <v>78</v>
      </c>
      <c r="D1268" s="7">
        <v>2</v>
      </c>
      <c r="E1268" s="7">
        <v>2</v>
      </c>
      <c r="F1268" s="8">
        <v>1</v>
      </c>
      <c r="G1268" s="8">
        <v>1</v>
      </c>
      <c r="H1268" s="7">
        <v>1</v>
      </c>
      <c r="I1268" s="7">
        <v>1</v>
      </c>
      <c r="J1268" s="9" t="s">
        <v>35</v>
      </c>
      <c r="K1268" s="7">
        <v>2</v>
      </c>
      <c r="L1268" s="7" t="s">
        <v>52</v>
      </c>
      <c r="M1268" s="7">
        <f t="shared" si="94"/>
        <v>1</v>
      </c>
      <c r="N1268" s="9" t="s">
        <v>36</v>
      </c>
      <c r="O1268" s="7">
        <v>0</v>
      </c>
      <c r="P1268" s="9" t="s">
        <v>34</v>
      </c>
      <c r="Q1268" s="7" t="s">
        <v>38</v>
      </c>
      <c r="R1268" s="7" t="s">
        <v>38</v>
      </c>
      <c r="S1268" s="7"/>
      <c r="T1268" s="7">
        <v>9</v>
      </c>
      <c r="U1268" s="7">
        <v>9</v>
      </c>
      <c r="V1268" s="7">
        <v>90</v>
      </c>
      <c r="W1268" s="7" t="s">
        <v>83</v>
      </c>
      <c r="X1268" s="7"/>
      <c r="Y1268" s="7"/>
      <c r="Z1268" s="7"/>
      <c r="AA1268" s="7"/>
      <c r="AB1268" s="7">
        <f>(U1268+X1268+Z1268)/3</f>
        <v>3</v>
      </c>
      <c r="AC1268" s="7">
        <f t="shared" si="95"/>
        <v>3</v>
      </c>
      <c r="AD1268" s="7"/>
      <c r="AE1268" s="7"/>
      <c r="AF1268" s="7"/>
      <c r="AG1268" s="7"/>
      <c r="AH1268" s="7"/>
      <c r="AI1268" s="7"/>
      <c r="AJ1268" s="7"/>
      <c r="AK1268" s="7"/>
      <c r="AL1268" s="9"/>
      <c r="AM1268" s="7" t="s">
        <v>42</v>
      </c>
      <c r="AN1268" s="7" t="s">
        <v>42</v>
      </c>
      <c r="AO1268" s="12"/>
    </row>
    <row r="1269" spans="1:41" s="11" customFormat="1" ht="24" x14ac:dyDescent="0.25">
      <c r="A1269" s="2">
        <v>1268</v>
      </c>
      <c r="B1269" s="7" t="s">
        <v>1079</v>
      </c>
      <c r="C1269" s="7" t="s">
        <v>104</v>
      </c>
      <c r="D1269" s="7">
        <v>7</v>
      </c>
      <c r="E1269" s="7">
        <v>7</v>
      </c>
      <c r="F1269" s="8">
        <v>1</v>
      </c>
      <c r="G1269" s="8">
        <v>1</v>
      </c>
      <c r="H1269" s="7">
        <v>1</v>
      </c>
      <c r="I1269" s="7">
        <v>1</v>
      </c>
      <c r="J1269" s="9" t="s">
        <v>35</v>
      </c>
      <c r="K1269" s="7">
        <v>1</v>
      </c>
      <c r="L1269" s="7" t="s">
        <v>52</v>
      </c>
      <c r="M1269" s="7">
        <f t="shared" si="94"/>
        <v>1</v>
      </c>
      <c r="N1269" s="9" t="s">
        <v>36</v>
      </c>
      <c r="O1269" s="7">
        <v>0</v>
      </c>
      <c r="P1269" s="9" t="s">
        <v>33</v>
      </c>
      <c r="Q1269" s="7" t="s">
        <v>38</v>
      </c>
      <c r="R1269" s="7" t="s">
        <v>38</v>
      </c>
      <c r="S1269" s="10" t="s">
        <v>2125</v>
      </c>
      <c r="T1269" s="7"/>
      <c r="U1269" s="7"/>
      <c r="V1269" s="7"/>
      <c r="W1269" s="7"/>
      <c r="X1269" s="7">
        <v>3</v>
      </c>
      <c r="Y1269" s="7"/>
      <c r="Z1269" s="7"/>
      <c r="AA1269" s="7"/>
      <c r="AB1269" s="7">
        <f>(U1269+X1269+Z1269)/3</f>
        <v>1</v>
      </c>
      <c r="AC1269" s="7">
        <f t="shared" si="95"/>
        <v>1</v>
      </c>
      <c r="AD1269" s="7"/>
      <c r="AE1269" s="7">
        <v>1</v>
      </c>
      <c r="AF1269" s="7" t="s">
        <v>40</v>
      </c>
      <c r="AG1269" s="7" t="s">
        <v>138</v>
      </c>
      <c r="AH1269" s="7"/>
      <c r="AI1269" s="7"/>
      <c r="AJ1269" s="7"/>
      <c r="AK1269" s="7"/>
      <c r="AL1269" s="9"/>
      <c r="AM1269" s="7" t="s">
        <v>71</v>
      </c>
      <c r="AN1269" s="7" t="s">
        <v>71</v>
      </c>
      <c r="AO1269" s="12" t="s">
        <v>1086</v>
      </c>
    </row>
    <row r="1270" spans="1:41" s="11" customFormat="1" x14ac:dyDescent="0.25">
      <c r="A1270" s="2">
        <v>1269</v>
      </c>
      <c r="B1270" s="7" t="s">
        <v>1079</v>
      </c>
      <c r="C1270" s="7" t="s">
        <v>100</v>
      </c>
      <c r="D1270" s="7">
        <v>3</v>
      </c>
      <c r="E1270" s="7">
        <v>3</v>
      </c>
      <c r="F1270" s="8">
        <v>1</v>
      </c>
      <c r="G1270" s="8">
        <v>1</v>
      </c>
      <c r="H1270" s="7">
        <v>1</v>
      </c>
      <c r="I1270" s="7">
        <v>1</v>
      </c>
      <c r="J1270" s="9" t="s">
        <v>35</v>
      </c>
      <c r="K1270" s="7">
        <v>1</v>
      </c>
      <c r="L1270" s="7" t="s">
        <v>52</v>
      </c>
      <c r="M1270" s="7">
        <f t="shared" si="94"/>
        <v>1</v>
      </c>
      <c r="N1270" s="9"/>
      <c r="O1270" s="7"/>
      <c r="P1270" s="9"/>
      <c r="Q1270" s="7"/>
      <c r="R1270" s="7"/>
      <c r="S1270" s="7"/>
      <c r="T1270" s="7"/>
      <c r="U1270" s="7"/>
      <c r="V1270" s="7"/>
      <c r="W1270" s="7"/>
      <c r="X1270" s="7">
        <v>3</v>
      </c>
      <c r="Y1270" s="7"/>
      <c r="Z1270" s="7"/>
      <c r="AA1270" s="7"/>
      <c r="AB1270" s="7">
        <f>(U1270+X1270+Z1270)/3</f>
        <v>1</v>
      </c>
      <c r="AC1270" s="7">
        <f t="shared" si="95"/>
        <v>1</v>
      </c>
      <c r="AD1270" s="7"/>
      <c r="AE1270" s="7"/>
      <c r="AF1270" s="7"/>
      <c r="AG1270" s="7"/>
      <c r="AH1270" s="7"/>
      <c r="AI1270" s="7"/>
      <c r="AJ1270" s="7"/>
      <c r="AK1270" s="7"/>
      <c r="AL1270" s="9"/>
      <c r="AM1270" s="7" t="s">
        <v>71</v>
      </c>
      <c r="AN1270" s="7" t="s">
        <v>71</v>
      </c>
      <c r="AO1270" s="12"/>
    </row>
    <row r="1271" spans="1:41" s="11" customFormat="1" x14ac:dyDescent="0.25">
      <c r="A1271" s="2">
        <v>1270</v>
      </c>
      <c r="B1271" s="7" t="s">
        <v>1079</v>
      </c>
      <c r="C1271" s="7" t="s">
        <v>104</v>
      </c>
      <c r="D1271" s="7">
        <v>11</v>
      </c>
      <c r="E1271" s="7">
        <v>11</v>
      </c>
      <c r="F1271" s="8">
        <v>1</v>
      </c>
      <c r="G1271" s="8">
        <v>1</v>
      </c>
      <c r="H1271" s="7">
        <v>1</v>
      </c>
      <c r="I1271" s="7">
        <v>1</v>
      </c>
      <c r="J1271" s="9" t="s">
        <v>35</v>
      </c>
      <c r="K1271" s="7">
        <v>2</v>
      </c>
      <c r="L1271" s="7" t="s">
        <v>52</v>
      </c>
      <c r="M1271" s="7">
        <f t="shared" si="94"/>
        <v>1</v>
      </c>
      <c r="N1271" s="9" t="s">
        <v>36</v>
      </c>
      <c r="O1271" s="7">
        <v>0</v>
      </c>
      <c r="P1271" s="9" t="s">
        <v>37</v>
      </c>
      <c r="Q1271" s="7" t="s">
        <v>38</v>
      </c>
      <c r="R1271" s="7" t="s">
        <v>38</v>
      </c>
      <c r="S1271" s="7"/>
      <c r="T1271" s="7"/>
      <c r="U1271" s="7"/>
      <c r="V1271" s="7"/>
      <c r="W1271" s="7"/>
      <c r="X1271" s="7">
        <v>3</v>
      </c>
      <c r="Y1271" s="7"/>
      <c r="Z1271" s="7"/>
      <c r="AA1271" s="7"/>
      <c r="AB1271" s="7">
        <f>(U1271+X1271+Z1271)/3</f>
        <v>1</v>
      </c>
      <c r="AC1271" s="7">
        <f t="shared" si="95"/>
        <v>1</v>
      </c>
      <c r="AD1271" s="7"/>
      <c r="AE1271" s="7">
        <v>1</v>
      </c>
      <c r="AF1271" s="7" t="s">
        <v>40</v>
      </c>
      <c r="AG1271" s="7" t="s">
        <v>120</v>
      </c>
      <c r="AH1271" s="7"/>
      <c r="AI1271" s="7"/>
      <c r="AJ1271" s="7"/>
      <c r="AK1271" s="7"/>
      <c r="AL1271" s="9"/>
      <c r="AM1271" s="7" t="s">
        <v>71</v>
      </c>
      <c r="AN1271" s="7" t="s">
        <v>71</v>
      </c>
      <c r="AO1271" s="12"/>
    </row>
    <row r="1272" spans="1:41" s="11" customFormat="1" x14ac:dyDescent="0.25">
      <c r="A1272" s="2">
        <v>1271</v>
      </c>
      <c r="B1272" s="7" t="s">
        <v>1079</v>
      </c>
      <c r="C1272" s="7" t="s">
        <v>104</v>
      </c>
      <c r="D1272" s="7">
        <v>4</v>
      </c>
      <c r="E1272" s="7">
        <v>4</v>
      </c>
      <c r="F1272" s="8">
        <v>1</v>
      </c>
      <c r="G1272" s="8">
        <v>1</v>
      </c>
      <c r="H1272" s="7">
        <v>1</v>
      </c>
      <c r="I1272" s="7">
        <v>1</v>
      </c>
      <c r="J1272" s="9" t="s">
        <v>35</v>
      </c>
      <c r="K1272" s="7">
        <v>2</v>
      </c>
      <c r="L1272" s="7" t="s">
        <v>52</v>
      </c>
      <c r="M1272" s="7">
        <f t="shared" si="94"/>
        <v>1</v>
      </c>
      <c r="N1272" s="9" t="s">
        <v>36</v>
      </c>
      <c r="O1272" s="7">
        <v>0</v>
      </c>
      <c r="P1272" s="9" t="s">
        <v>63</v>
      </c>
      <c r="Q1272" s="7" t="s">
        <v>38</v>
      </c>
      <c r="R1272" s="7" t="s">
        <v>38</v>
      </c>
      <c r="S1272" s="10" t="s">
        <v>2126</v>
      </c>
      <c r="T1272" s="7"/>
      <c r="U1272" s="7"/>
      <c r="V1272" s="7"/>
      <c r="W1272" s="7"/>
      <c r="X1272" s="7">
        <v>3</v>
      </c>
      <c r="Y1272" s="7"/>
      <c r="Z1272" s="7"/>
      <c r="AA1272" s="7"/>
      <c r="AB1272" s="7">
        <f>(U1272+X1272+Z1272)/3</f>
        <v>1</v>
      </c>
      <c r="AC1272" s="7">
        <f t="shared" si="95"/>
        <v>1</v>
      </c>
      <c r="AD1272" s="7"/>
      <c r="AE1272" s="7">
        <v>1</v>
      </c>
      <c r="AF1272" s="7"/>
      <c r="AG1272" s="7" t="s">
        <v>1087</v>
      </c>
      <c r="AH1272" s="7" t="s">
        <v>38</v>
      </c>
      <c r="AI1272" s="7"/>
      <c r="AJ1272" s="7"/>
      <c r="AK1272" s="7"/>
      <c r="AL1272" s="9"/>
      <c r="AM1272" s="7" t="s">
        <v>71</v>
      </c>
      <c r="AN1272" s="7" t="s">
        <v>71</v>
      </c>
      <c r="AO1272" s="12"/>
    </row>
    <row r="1273" spans="1:41" s="11" customFormat="1" x14ac:dyDescent="0.25">
      <c r="A1273" s="2">
        <v>1272</v>
      </c>
      <c r="B1273" s="7" t="s">
        <v>1079</v>
      </c>
      <c r="C1273" s="7" t="s">
        <v>100</v>
      </c>
      <c r="D1273" s="7">
        <v>11</v>
      </c>
      <c r="E1273" s="7">
        <v>11</v>
      </c>
      <c r="F1273" s="8">
        <v>1</v>
      </c>
      <c r="G1273" s="8">
        <v>1</v>
      </c>
      <c r="H1273" s="7">
        <v>1</v>
      </c>
      <c r="I1273" s="7">
        <v>1</v>
      </c>
      <c r="J1273" s="9" t="s">
        <v>639</v>
      </c>
      <c r="K1273" s="7"/>
      <c r="L1273" s="7" t="s">
        <v>38</v>
      </c>
      <c r="M1273" s="7">
        <f t="shared" si="94"/>
        <v>0</v>
      </c>
      <c r="N1273" s="9"/>
      <c r="O1273" s="7"/>
      <c r="P1273" s="9"/>
      <c r="Q1273" s="7"/>
      <c r="R1273" s="7"/>
      <c r="S1273" s="7"/>
      <c r="T1273" s="7"/>
      <c r="U1273" s="7"/>
      <c r="V1273" s="7"/>
      <c r="W1273" s="7"/>
      <c r="X1273" s="7"/>
      <c r="Y1273" s="7"/>
      <c r="Z1273" s="7"/>
      <c r="AA1273" s="7"/>
      <c r="AB1273" s="7">
        <v>0.33333333333333298</v>
      </c>
      <c r="AC1273" s="7">
        <f t="shared" si="95"/>
        <v>0</v>
      </c>
      <c r="AD1273" s="7"/>
      <c r="AE1273" s="7"/>
      <c r="AF1273" s="7"/>
      <c r="AG1273" s="7"/>
      <c r="AH1273" s="7"/>
      <c r="AI1273" s="7"/>
      <c r="AJ1273" s="7"/>
      <c r="AK1273" s="7"/>
      <c r="AL1273" s="9"/>
      <c r="AM1273" s="7"/>
      <c r="AN1273" s="7"/>
      <c r="AO1273" s="15" t="s">
        <v>2676</v>
      </c>
    </row>
    <row r="1274" spans="1:41" s="11" customFormat="1" ht="24" x14ac:dyDescent="0.25">
      <c r="A1274" s="2">
        <v>1273</v>
      </c>
      <c r="B1274" s="7" t="s">
        <v>1079</v>
      </c>
      <c r="C1274" s="7" t="s">
        <v>50</v>
      </c>
      <c r="D1274" s="7">
        <v>107</v>
      </c>
      <c r="E1274" s="7">
        <v>107</v>
      </c>
      <c r="F1274" s="8">
        <v>1</v>
      </c>
      <c r="G1274" s="8">
        <v>3</v>
      </c>
      <c r="H1274" s="7">
        <v>3</v>
      </c>
      <c r="I1274" s="7">
        <v>3</v>
      </c>
      <c r="J1274" s="9" t="s">
        <v>35</v>
      </c>
      <c r="K1274" s="7">
        <v>2</v>
      </c>
      <c r="L1274" s="7" t="s">
        <v>52</v>
      </c>
      <c r="M1274" s="7">
        <f t="shared" si="94"/>
        <v>1</v>
      </c>
      <c r="N1274" s="9" t="s">
        <v>36</v>
      </c>
      <c r="O1274" s="7">
        <v>1</v>
      </c>
      <c r="P1274" s="9" t="s">
        <v>63</v>
      </c>
      <c r="Q1274" s="7" t="s">
        <v>38</v>
      </c>
      <c r="R1274" s="7" t="s">
        <v>38</v>
      </c>
      <c r="S1274" s="10" t="s">
        <v>2127</v>
      </c>
      <c r="T1274" s="7"/>
      <c r="U1274" s="7"/>
      <c r="V1274" s="7"/>
      <c r="W1274" s="7"/>
      <c r="X1274" s="7">
        <v>3</v>
      </c>
      <c r="Y1274" s="7">
        <v>100</v>
      </c>
      <c r="Z1274" s="7">
        <v>100</v>
      </c>
      <c r="AA1274" s="7">
        <v>64</v>
      </c>
      <c r="AB1274" s="7">
        <f>(U1274+X1274+Z1274)/3</f>
        <v>34.333333333333336</v>
      </c>
      <c r="AC1274" s="7">
        <f t="shared" si="95"/>
        <v>34.333333333333336</v>
      </c>
      <c r="AD1274" s="7"/>
      <c r="AE1274" s="7"/>
      <c r="AF1274" s="7"/>
      <c r="AG1274" s="7"/>
      <c r="AH1274" s="7"/>
      <c r="AI1274" s="7"/>
      <c r="AJ1274" s="7"/>
      <c r="AK1274" s="7"/>
      <c r="AL1274" s="9"/>
      <c r="AM1274" s="7" t="s">
        <v>42</v>
      </c>
      <c r="AN1274" s="7" t="s">
        <v>42</v>
      </c>
      <c r="AO1274" s="15" t="s">
        <v>2677</v>
      </c>
    </row>
    <row r="1275" spans="1:41" s="11" customFormat="1" x14ac:dyDescent="0.25">
      <c r="A1275" s="2">
        <v>1274</v>
      </c>
      <c r="B1275" s="7" t="s">
        <v>1079</v>
      </c>
      <c r="C1275" s="7" t="s">
        <v>119</v>
      </c>
      <c r="D1275" s="7">
        <v>3</v>
      </c>
      <c r="E1275" s="7">
        <v>3</v>
      </c>
      <c r="F1275" s="8">
        <v>1</v>
      </c>
      <c r="G1275" s="8">
        <v>1</v>
      </c>
      <c r="H1275" s="7">
        <v>1</v>
      </c>
      <c r="I1275" s="7">
        <v>1</v>
      </c>
      <c r="J1275" s="9" t="s">
        <v>35</v>
      </c>
      <c r="K1275" s="7">
        <v>2</v>
      </c>
      <c r="L1275" s="7" t="s">
        <v>52</v>
      </c>
      <c r="M1275" s="7">
        <f t="shared" si="94"/>
        <v>1</v>
      </c>
      <c r="N1275" s="9" t="s">
        <v>34</v>
      </c>
      <c r="O1275" s="7">
        <v>0</v>
      </c>
      <c r="P1275" s="9" t="s">
        <v>63</v>
      </c>
      <c r="Q1275" s="7"/>
      <c r="R1275" s="7" t="s">
        <v>38</v>
      </c>
      <c r="S1275" s="7" t="s">
        <v>307</v>
      </c>
      <c r="T1275" s="7"/>
      <c r="U1275" s="7"/>
      <c r="V1275" s="7"/>
      <c r="W1275" s="7"/>
      <c r="X1275" s="7"/>
      <c r="Y1275" s="7"/>
      <c r="Z1275" s="7"/>
      <c r="AA1275" s="7"/>
      <c r="AB1275" s="7">
        <v>0.33333333333333298</v>
      </c>
      <c r="AC1275" s="7">
        <f t="shared" si="95"/>
        <v>0.33333333333333298</v>
      </c>
      <c r="AD1275" s="7">
        <v>1</v>
      </c>
      <c r="AE1275" s="7"/>
      <c r="AF1275" s="7" t="s">
        <v>40</v>
      </c>
      <c r="AG1275" s="7" t="s">
        <v>1088</v>
      </c>
      <c r="AH1275" s="7"/>
      <c r="AI1275" s="7"/>
      <c r="AJ1275" s="7"/>
      <c r="AK1275" s="7"/>
      <c r="AL1275" s="9"/>
      <c r="AM1275" s="7" t="s">
        <v>71</v>
      </c>
      <c r="AN1275" s="7" t="s">
        <v>71</v>
      </c>
      <c r="AO1275" s="15" t="s">
        <v>2678</v>
      </c>
    </row>
    <row r="1276" spans="1:41" s="11" customFormat="1" x14ac:dyDescent="0.25">
      <c r="A1276" s="2">
        <v>1275</v>
      </c>
      <c r="B1276" s="7" t="s">
        <v>1079</v>
      </c>
      <c r="C1276" s="7" t="s">
        <v>78</v>
      </c>
      <c r="D1276" s="7" t="s">
        <v>1089</v>
      </c>
      <c r="E1276" s="7">
        <v>40</v>
      </c>
      <c r="F1276" s="8">
        <v>1</v>
      </c>
      <c r="G1276" s="8">
        <v>2</v>
      </c>
      <c r="H1276" s="7">
        <v>2</v>
      </c>
      <c r="I1276" s="7">
        <v>2</v>
      </c>
      <c r="J1276" s="9" t="s">
        <v>35</v>
      </c>
      <c r="K1276" s="7">
        <v>2</v>
      </c>
      <c r="L1276" s="7" t="s">
        <v>52</v>
      </c>
      <c r="M1276" s="7">
        <f t="shared" si="94"/>
        <v>1</v>
      </c>
      <c r="N1276" s="9" t="s">
        <v>34</v>
      </c>
      <c r="O1276" s="7">
        <v>1</v>
      </c>
      <c r="P1276" s="9" t="s">
        <v>33</v>
      </c>
      <c r="Q1276" s="7" t="s">
        <v>38</v>
      </c>
      <c r="R1276" s="7" t="s">
        <v>38</v>
      </c>
      <c r="S1276" s="10" t="s">
        <v>1908</v>
      </c>
      <c r="T1276" s="7">
        <v>20</v>
      </c>
      <c r="U1276" s="7">
        <v>20</v>
      </c>
      <c r="V1276" s="7">
        <v>190</v>
      </c>
      <c r="W1276" s="7" t="s">
        <v>79</v>
      </c>
      <c r="X1276" s="7"/>
      <c r="Y1276" s="7"/>
      <c r="Z1276" s="7"/>
      <c r="AA1276" s="7"/>
      <c r="AB1276" s="7">
        <f t="shared" ref="AB1276:AB1283" si="99">(U1276+X1276+Z1276)/3</f>
        <v>6.666666666666667</v>
      </c>
      <c r="AC1276" s="7">
        <f t="shared" si="95"/>
        <v>6.666666666666667</v>
      </c>
      <c r="AD1276" s="7"/>
      <c r="AE1276" s="7"/>
      <c r="AF1276" s="7"/>
      <c r="AG1276" s="7"/>
      <c r="AH1276" s="7"/>
      <c r="AI1276" s="7"/>
      <c r="AJ1276" s="7"/>
      <c r="AK1276" s="10" t="s">
        <v>2483</v>
      </c>
      <c r="AL1276" s="9"/>
      <c r="AM1276" s="7" t="s">
        <v>137</v>
      </c>
      <c r="AN1276" s="7" t="s">
        <v>2848</v>
      </c>
      <c r="AO1276" s="15" t="s">
        <v>2679</v>
      </c>
    </row>
    <row r="1277" spans="1:41" s="11" customFormat="1" ht="24" x14ac:dyDescent="0.25">
      <c r="A1277" s="2">
        <v>1276</v>
      </c>
      <c r="B1277" s="7" t="s">
        <v>1079</v>
      </c>
      <c r="C1277" s="7" t="s">
        <v>1090</v>
      </c>
      <c r="D1277" s="7" t="s">
        <v>1091</v>
      </c>
      <c r="E1277" s="7">
        <f>62+25+22</f>
        <v>109</v>
      </c>
      <c r="F1277" s="8">
        <v>1</v>
      </c>
      <c r="G1277" s="9" t="s">
        <v>706</v>
      </c>
      <c r="H1277" s="7">
        <v>4</v>
      </c>
      <c r="I1277" s="7">
        <v>4</v>
      </c>
      <c r="J1277" s="9" t="s">
        <v>35</v>
      </c>
      <c r="K1277" s="7">
        <v>1</v>
      </c>
      <c r="L1277" s="7" t="s">
        <v>52</v>
      </c>
      <c r="M1277" s="7">
        <f t="shared" si="94"/>
        <v>1</v>
      </c>
      <c r="N1277" s="9" t="s">
        <v>36</v>
      </c>
      <c r="O1277" s="7">
        <v>0</v>
      </c>
      <c r="P1277" s="9" t="s">
        <v>37</v>
      </c>
      <c r="Q1277" s="7" t="s">
        <v>38</v>
      </c>
      <c r="R1277" s="7" t="s">
        <v>38</v>
      </c>
      <c r="S1277" s="10" t="s">
        <v>2128</v>
      </c>
      <c r="T1277" s="7">
        <v>35</v>
      </c>
      <c r="U1277" s="7">
        <v>35</v>
      </c>
      <c r="V1277" s="7">
        <v>169</v>
      </c>
      <c r="W1277" s="7" t="s">
        <v>244</v>
      </c>
      <c r="X1277" s="7">
        <v>3</v>
      </c>
      <c r="Y1277" s="7"/>
      <c r="Z1277" s="7"/>
      <c r="AA1277" s="7"/>
      <c r="AB1277" s="7">
        <f t="shared" si="99"/>
        <v>12.666666666666666</v>
      </c>
      <c r="AC1277" s="7">
        <f t="shared" si="95"/>
        <v>12.666666666666666</v>
      </c>
      <c r="AD1277" s="7"/>
      <c r="AE1277" s="7">
        <v>1</v>
      </c>
      <c r="AF1277" s="7" t="s">
        <v>40</v>
      </c>
      <c r="AG1277" s="7" t="s">
        <v>1092</v>
      </c>
      <c r="AH1277" s="7"/>
      <c r="AI1277" s="7"/>
      <c r="AJ1277" s="7"/>
      <c r="AK1277" s="10" t="s">
        <v>2484</v>
      </c>
      <c r="AL1277" s="9"/>
      <c r="AM1277" s="7" t="s">
        <v>650</v>
      </c>
      <c r="AN1277" s="7" t="s">
        <v>2848</v>
      </c>
      <c r="AO1277" s="12"/>
    </row>
    <row r="1278" spans="1:41" s="11" customFormat="1" x14ac:dyDescent="0.25">
      <c r="A1278" s="2">
        <v>1277</v>
      </c>
      <c r="B1278" s="7" t="s">
        <v>1079</v>
      </c>
      <c r="C1278" s="7" t="s">
        <v>100</v>
      </c>
      <c r="D1278" s="7">
        <v>3</v>
      </c>
      <c r="E1278" s="7">
        <v>3</v>
      </c>
      <c r="F1278" s="8">
        <v>1</v>
      </c>
      <c r="G1278" s="8">
        <v>1</v>
      </c>
      <c r="H1278" s="7">
        <v>1</v>
      </c>
      <c r="I1278" s="7">
        <v>1</v>
      </c>
      <c r="J1278" s="9" t="s">
        <v>35</v>
      </c>
      <c r="K1278" s="7">
        <v>1</v>
      </c>
      <c r="L1278" s="7" t="s">
        <v>52</v>
      </c>
      <c r="M1278" s="7">
        <f t="shared" si="94"/>
        <v>1</v>
      </c>
      <c r="N1278" s="9"/>
      <c r="O1278" s="7"/>
      <c r="P1278" s="9"/>
      <c r="Q1278" s="7"/>
      <c r="R1278" s="7"/>
      <c r="S1278" s="7"/>
      <c r="T1278" s="7"/>
      <c r="U1278" s="7"/>
      <c r="V1278" s="7"/>
      <c r="W1278" s="7"/>
      <c r="X1278" s="7">
        <v>3</v>
      </c>
      <c r="Y1278" s="7"/>
      <c r="Z1278" s="7"/>
      <c r="AA1278" s="7"/>
      <c r="AB1278" s="7">
        <f t="shared" si="99"/>
        <v>1</v>
      </c>
      <c r="AC1278" s="7">
        <f t="shared" si="95"/>
        <v>1</v>
      </c>
      <c r="AD1278" s="7"/>
      <c r="AE1278" s="7"/>
      <c r="AF1278" s="7"/>
      <c r="AG1278" s="7"/>
      <c r="AH1278" s="7"/>
      <c r="AI1278" s="7"/>
      <c r="AJ1278" s="7"/>
      <c r="AK1278" s="7"/>
      <c r="AL1278" s="9"/>
      <c r="AM1278" s="7" t="s">
        <v>71</v>
      </c>
      <c r="AN1278" s="7" t="s">
        <v>71</v>
      </c>
      <c r="AO1278" s="12"/>
    </row>
    <row r="1279" spans="1:41" s="11" customFormat="1" x14ac:dyDescent="0.25">
      <c r="A1279" s="2">
        <v>1278</v>
      </c>
      <c r="B1279" s="7" t="s">
        <v>1079</v>
      </c>
      <c r="C1279" s="7" t="s">
        <v>100</v>
      </c>
      <c r="D1279" s="7">
        <v>12</v>
      </c>
      <c r="E1279" s="7">
        <v>12</v>
      </c>
      <c r="F1279" s="8">
        <v>1</v>
      </c>
      <c r="G1279" s="8">
        <v>1</v>
      </c>
      <c r="H1279" s="7">
        <v>1</v>
      </c>
      <c r="I1279" s="7">
        <v>1</v>
      </c>
      <c r="J1279" s="9" t="s">
        <v>35</v>
      </c>
      <c r="K1279" s="7">
        <v>2</v>
      </c>
      <c r="L1279" s="7" t="s">
        <v>52</v>
      </c>
      <c r="M1279" s="7">
        <f t="shared" si="94"/>
        <v>1</v>
      </c>
      <c r="N1279" s="9"/>
      <c r="O1279" s="7"/>
      <c r="P1279" s="9"/>
      <c r="Q1279" s="7"/>
      <c r="R1279" s="7"/>
      <c r="S1279" s="7"/>
      <c r="T1279" s="7"/>
      <c r="U1279" s="7"/>
      <c r="V1279" s="7"/>
      <c r="W1279" s="7"/>
      <c r="X1279" s="7">
        <v>3</v>
      </c>
      <c r="Y1279" s="7"/>
      <c r="Z1279" s="7"/>
      <c r="AA1279" s="7"/>
      <c r="AB1279" s="7">
        <f t="shared" si="99"/>
        <v>1</v>
      </c>
      <c r="AC1279" s="7">
        <f t="shared" si="95"/>
        <v>1</v>
      </c>
      <c r="AD1279" s="7"/>
      <c r="AE1279" s="7"/>
      <c r="AF1279" s="7"/>
      <c r="AG1279" s="7"/>
      <c r="AH1279" s="7"/>
      <c r="AI1279" s="7"/>
      <c r="AJ1279" s="7"/>
      <c r="AK1279" s="7"/>
      <c r="AL1279" s="9"/>
      <c r="AM1279" s="7" t="s">
        <v>71</v>
      </c>
      <c r="AN1279" s="7" t="s">
        <v>71</v>
      </c>
      <c r="AO1279" s="12"/>
    </row>
    <row r="1280" spans="1:41" s="11" customFormat="1" x14ac:dyDescent="0.25">
      <c r="A1280" s="2">
        <v>1279</v>
      </c>
      <c r="B1280" s="7" t="s">
        <v>1079</v>
      </c>
      <c r="C1280" s="7" t="s">
        <v>78</v>
      </c>
      <c r="D1280" s="7">
        <v>1</v>
      </c>
      <c r="E1280" s="7">
        <v>1</v>
      </c>
      <c r="F1280" s="8">
        <v>1</v>
      </c>
      <c r="G1280" s="8">
        <v>1</v>
      </c>
      <c r="H1280" s="7">
        <v>1</v>
      </c>
      <c r="I1280" s="7">
        <v>1</v>
      </c>
      <c r="J1280" s="9" t="s">
        <v>35</v>
      </c>
      <c r="K1280" s="7">
        <v>1</v>
      </c>
      <c r="L1280" s="7" t="s">
        <v>52</v>
      </c>
      <c r="M1280" s="7">
        <f t="shared" si="94"/>
        <v>1</v>
      </c>
      <c r="N1280" s="9" t="s">
        <v>34</v>
      </c>
      <c r="O1280" s="7">
        <v>0</v>
      </c>
      <c r="P1280" s="9" t="s">
        <v>63</v>
      </c>
      <c r="Q1280" s="7" t="s">
        <v>38</v>
      </c>
      <c r="R1280" s="7" t="s">
        <v>38</v>
      </c>
      <c r="S1280" s="10" t="s">
        <v>2129</v>
      </c>
      <c r="T1280" s="7" t="s">
        <v>92</v>
      </c>
      <c r="U1280" s="7">
        <v>3</v>
      </c>
      <c r="V1280" s="7" t="s">
        <v>199</v>
      </c>
      <c r="W1280" s="7" t="s">
        <v>254</v>
      </c>
      <c r="X1280" s="7"/>
      <c r="Y1280" s="7"/>
      <c r="Z1280" s="7"/>
      <c r="AA1280" s="7"/>
      <c r="AB1280" s="7">
        <f t="shared" si="99"/>
        <v>1</v>
      </c>
      <c r="AC1280" s="7">
        <f t="shared" si="95"/>
        <v>1</v>
      </c>
      <c r="AD1280" s="7"/>
      <c r="AE1280" s="7"/>
      <c r="AF1280" s="7"/>
      <c r="AG1280" s="7"/>
      <c r="AH1280" s="7"/>
      <c r="AI1280" s="7"/>
      <c r="AJ1280" s="7"/>
      <c r="AK1280" s="7"/>
      <c r="AL1280" s="9"/>
      <c r="AM1280" s="7" t="s">
        <v>42</v>
      </c>
      <c r="AN1280" s="7" t="s">
        <v>42</v>
      </c>
      <c r="AO1280" s="12"/>
    </row>
    <row r="1281" spans="1:41" s="11" customFormat="1" x14ac:dyDescent="0.25">
      <c r="A1281" s="2">
        <v>1280</v>
      </c>
      <c r="B1281" s="7" t="s">
        <v>1079</v>
      </c>
      <c r="C1281" s="7" t="s">
        <v>100</v>
      </c>
      <c r="D1281" s="7">
        <v>1</v>
      </c>
      <c r="E1281" s="7">
        <v>1</v>
      </c>
      <c r="F1281" s="8">
        <v>1</v>
      </c>
      <c r="G1281" s="8">
        <v>1</v>
      </c>
      <c r="H1281" s="7">
        <v>1</v>
      </c>
      <c r="I1281" s="7">
        <v>1</v>
      </c>
      <c r="J1281" s="9" t="s">
        <v>35</v>
      </c>
      <c r="K1281" s="7">
        <v>1</v>
      </c>
      <c r="L1281" s="7" t="s">
        <v>52</v>
      </c>
      <c r="M1281" s="7">
        <f t="shared" si="94"/>
        <v>1</v>
      </c>
      <c r="N1281" s="9"/>
      <c r="O1281" s="7"/>
      <c r="P1281" s="9"/>
      <c r="Q1281" s="7"/>
      <c r="R1281" s="7"/>
      <c r="S1281" s="7"/>
      <c r="T1281" s="7"/>
      <c r="U1281" s="7"/>
      <c r="V1281" s="7"/>
      <c r="W1281" s="7"/>
      <c r="X1281" s="7">
        <v>3</v>
      </c>
      <c r="Y1281" s="7"/>
      <c r="Z1281" s="7"/>
      <c r="AA1281" s="7"/>
      <c r="AB1281" s="7">
        <f t="shared" si="99"/>
        <v>1</v>
      </c>
      <c r="AC1281" s="7">
        <f t="shared" si="95"/>
        <v>1</v>
      </c>
      <c r="AD1281" s="7"/>
      <c r="AE1281" s="7"/>
      <c r="AF1281" s="7"/>
      <c r="AG1281" s="7"/>
      <c r="AH1281" s="7"/>
      <c r="AI1281" s="7"/>
      <c r="AJ1281" s="7"/>
      <c r="AK1281" s="7"/>
      <c r="AL1281" s="9"/>
      <c r="AM1281" s="7" t="s">
        <v>71</v>
      </c>
      <c r="AN1281" s="7" t="s">
        <v>71</v>
      </c>
      <c r="AO1281" s="12"/>
    </row>
    <row r="1282" spans="1:41" s="11" customFormat="1" ht="24" x14ac:dyDescent="0.25">
      <c r="A1282" s="2">
        <v>1281</v>
      </c>
      <c r="B1282" s="7" t="s">
        <v>1079</v>
      </c>
      <c r="C1282" s="7" t="s">
        <v>78</v>
      </c>
      <c r="D1282" s="7">
        <v>10</v>
      </c>
      <c r="E1282" s="7">
        <v>10</v>
      </c>
      <c r="F1282" s="8">
        <v>1</v>
      </c>
      <c r="G1282" s="8">
        <v>1</v>
      </c>
      <c r="H1282" s="7">
        <v>1</v>
      </c>
      <c r="I1282" s="7">
        <v>1</v>
      </c>
      <c r="J1282" s="9" t="s">
        <v>35</v>
      </c>
      <c r="K1282" s="7">
        <v>2</v>
      </c>
      <c r="L1282" s="7" t="s">
        <v>52</v>
      </c>
      <c r="M1282" s="7">
        <f t="shared" ref="M1282:M1345" si="100">IF(L1282="n",F1282,0)</f>
        <v>1</v>
      </c>
      <c r="N1282" s="9" t="s">
        <v>34</v>
      </c>
      <c r="O1282" s="7">
        <v>1</v>
      </c>
      <c r="P1282" s="9" t="s">
        <v>63</v>
      </c>
      <c r="Q1282" s="7" t="s">
        <v>38</v>
      </c>
      <c r="R1282" s="7" t="s">
        <v>38</v>
      </c>
      <c r="S1282" s="10" t="s">
        <v>1927</v>
      </c>
      <c r="T1282" s="7">
        <v>5</v>
      </c>
      <c r="U1282" s="7">
        <v>5</v>
      </c>
      <c r="V1282" s="7">
        <v>90</v>
      </c>
      <c r="W1282" s="7" t="s">
        <v>83</v>
      </c>
      <c r="X1282" s="7"/>
      <c r="Y1282" s="7"/>
      <c r="Z1282" s="7"/>
      <c r="AA1282" s="7"/>
      <c r="AB1282" s="7">
        <f t="shared" si="99"/>
        <v>1.6666666666666667</v>
      </c>
      <c r="AC1282" s="7">
        <f t="shared" ref="AC1282:AC1345" si="101">IF(L1282="n",AB1282,0)</f>
        <v>1.6666666666666667</v>
      </c>
      <c r="AD1282" s="7"/>
      <c r="AE1282" s="7"/>
      <c r="AF1282" s="7"/>
      <c r="AG1282" s="7"/>
      <c r="AH1282" s="7"/>
      <c r="AI1282" s="7"/>
      <c r="AJ1282" s="7"/>
      <c r="AK1282" s="7" t="s">
        <v>252</v>
      </c>
      <c r="AL1282" s="9"/>
      <c r="AM1282" s="7" t="s">
        <v>42</v>
      </c>
      <c r="AN1282" s="7" t="s">
        <v>42</v>
      </c>
      <c r="AO1282" s="15" t="s">
        <v>2648</v>
      </c>
    </row>
    <row r="1283" spans="1:41" s="11" customFormat="1" x14ac:dyDescent="0.25">
      <c r="A1283" s="2">
        <v>1282</v>
      </c>
      <c r="B1283" s="7" t="s">
        <v>1079</v>
      </c>
      <c r="C1283" s="7" t="s">
        <v>89</v>
      </c>
      <c r="D1283" s="7">
        <v>76</v>
      </c>
      <c r="E1283" s="7">
        <v>76</v>
      </c>
      <c r="F1283" s="8">
        <v>1</v>
      </c>
      <c r="G1283" s="8">
        <v>2</v>
      </c>
      <c r="H1283" s="7">
        <v>2</v>
      </c>
      <c r="I1283" s="7">
        <v>2</v>
      </c>
      <c r="J1283" s="9" t="s">
        <v>219</v>
      </c>
      <c r="K1283" s="7">
        <v>1</v>
      </c>
      <c r="L1283" s="7" t="s">
        <v>52</v>
      </c>
      <c r="M1283" s="7">
        <f t="shared" si="100"/>
        <v>1</v>
      </c>
      <c r="N1283" s="9"/>
      <c r="O1283" s="7"/>
      <c r="P1283" s="9"/>
      <c r="Q1283" s="7"/>
      <c r="R1283" s="7"/>
      <c r="S1283" s="7"/>
      <c r="T1283" s="7"/>
      <c r="U1283" s="7"/>
      <c r="V1283" s="7"/>
      <c r="W1283" s="7"/>
      <c r="X1283" s="7">
        <v>3</v>
      </c>
      <c r="Y1283" s="7"/>
      <c r="Z1283" s="7"/>
      <c r="AA1283" s="7"/>
      <c r="AB1283" s="7">
        <f t="shared" si="99"/>
        <v>1</v>
      </c>
      <c r="AC1283" s="7">
        <f t="shared" si="101"/>
        <v>1</v>
      </c>
      <c r="AD1283" s="7"/>
      <c r="AE1283" s="7"/>
      <c r="AF1283" s="7"/>
      <c r="AG1283" s="7"/>
      <c r="AH1283" s="7"/>
      <c r="AI1283" s="7"/>
      <c r="AJ1283" s="7"/>
      <c r="AK1283" s="7"/>
      <c r="AL1283" s="9"/>
      <c r="AM1283" s="7" t="s">
        <v>71</v>
      </c>
      <c r="AN1283" s="7" t="s">
        <v>71</v>
      </c>
      <c r="AO1283" s="12"/>
    </row>
    <row r="1284" spans="1:41" s="11" customFormat="1" x14ac:dyDescent="0.25">
      <c r="A1284" s="2">
        <v>1283</v>
      </c>
      <c r="B1284" s="7" t="s">
        <v>1079</v>
      </c>
      <c r="C1284" s="7" t="s">
        <v>119</v>
      </c>
      <c r="D1284" s="7">
        <v>20</v>
      </c>
      <c r="E1284" s="7">
        <v>20</v>
      </c>
      <c r="F1284" s="8">
        <v>1</v>
      </c>
      <c r="G1284" s="8">
        <v>1</v>
      </c>
      <c r="H1284" s="7">
        <v>1</v>
      </c>
      <c r="I1284" s="7">
        <v>1</v>
      </c>
      <c r="J1284" s="9" t="s">
        <v>35</v>
      </c>
      <c r="K1284" s="7">
        <v>2</v>
      </c>
      <c r="L1284" s="7" t="s">
        <v>52</v>
      </c>
      <c r="M1284" s="7">
        <f t="shared" si="100"/>
        <v>1</v>
      </c>
      <c r="N1284" s="9" t="s">
        <v>34</v>
      </c>
      <c r="O1284" s="7">
        <v>1</v>
      </c>
      <c r="P1284" s="9" t="s">
        <v>63</v>
      </c>
      <c r="Q1284" s="7"/>
      <c r="R1284" s="7" t="s">
        <v>38</v>
      </c>
      <c r="S1284" s="10" t="s">
        <v>1945</v>
      </c>
      <c r="T1284" s="7"/>
      <c r="U1284" s="7"/>
      <c r="V1284" s="7"/>
      <c r="W1284" s="7"/>
      <c r="X1284" s="7"/>
      <c r="Y1284" s="7"/>
      <c r="Z1284" s="7"/>
      <c r="AA1284" s="7"/>
      <c r="AB1284" s="7">
        <v>0.33333333333333298</v>
      </c>
      <c r="AC1284" s="7">
        <f t="shared" si="101"/>
        <v>0.33333333333333298</v>
      </c>
      <c r="AD1284" s="7">
        <v>1</v>
      </c>
      <c r="AE1284" s="7"/>
      <c r="AF1284" s="7" t="s">
        <v>40</v>
      </c>
      <c r="AG1284" s="7" t="s">
        <v>1093</v>
      </c>
      <c r="AH1284" s="7"/>
      <c r="AI1284" s="7"/>
      <c r="AJ1284" s="7"/>
      <c r="AK1284" s="7"/>
      <c r="AL1284" s="9"/>
      <c r="AM1284" s="7" t="s">
        <v>71</v>
      </c>
      <c r="AN1284" s="7" t="s">
        <v>71</v>
      </c>
      <c r="AO1284" s="12"/>
    </row>
    <row r="1285" spans="1:41" s="11" customFormat="1" x14ac:dyDescent="0.25">
      <c r="A1285" s="2">
        <v>1284</v>
      </c>
      <c r="B1285" s="7" t="s">
        <v>1079</v>
      </c>
      <c r="C1285" s="7" t="s">
        <v>100</v>
      </c>
      <c r="D1285" s="7">
        <v>16</v>
      </c>
      <c r="E1285" s="7">
        <v>16</v>
      </c>
      <c r="F1285" s="8">
        <v>1</v>
      </c>
      <c r="G1285" s="8">
        <v>1</v>
      </c>
      <c r="H1285" s="7">
        <v>1</v>
      </c>
      <c r="I1285" s="7">
        <v>1</v>
      </c>
      <c r="J1285" s="9" t="s">
        <v>35</v>
      </c>
      <c r="K1285" s="7">
        <v>1</v>
      </c>
      <c r="L1285" s="7" t="s">
        <v>52</v>
      </c>
      <c r="M1285" s="7">
        <f t="shared" si="100"/>
        <v>1</v>
      </c>
      <c r="N1285" s="9" t="s">
        <v>34</v>
      </c>
      <c r="O1285" s="7">
        <v>0</v>
      </c>
      <c r="P1285" s="9" t="s">
        <v>33</v>
      </c>
      <c r="Q1285" s="7" t="s">
        <v>38</v>
      </c>
      <c r="R1285" s="7" t="s">
        <v>38</v>
      </c>
      <c r="S1285" s="10" t="s">
        <v>2130</v>
      </c>
      <c r="T1285" s="7"/>
      <c r="U1285" s="7"/>
      <c r="V1285" s="7"/>
      <c r="W1285" s="7"/>
      <c r="X1285" s="7">
        <v>3</v>
      </c>
      <c r="Y1285" s="7"/>
      <c r="Z1285" s="7"/>
      <c r="AA1285" s="7"/>
      <c r="AB1285" s="7">
        <f>(U1285+X1285+Z1285)/3</f>
        <v>1</v>
      </c>
      <c r="AC1285" s="7">
        <f t="shared" si="101"/>
        <v>1</v>
      </c>
      <c r="AD1285" s="7"/>
      <c r="AE1285" s="7">
        <v>1</v>
      </c>
      <c r="AF1285" s="7"/>
      <c r="AG1285" s="7" t="s">
        <v>1081</v>
      </c>
      <c r="AH1285" s="7" t="s">
        <v>38</v>
      </c>
      <c r="AI1285" s="7"/>
      <c r="AJ1285" s="7"/>
      <c r="AK1285" s="7"/>
      <c r="AL1285" s="9"/>
      <c r="AM1285" s="7" t="s">
        <v>71</v>
      </c>
      <c r="AN1285" s="7" t="s">
        <v>71</v>
      </c>
      <c r="AO1285" s="15" t="s">
        <v>2680</v>
      </c>
    </row>
    <row r="1286" spans="1:41" s="11" customFormat="1" x14ac:dyDescent="0.25">
      <c r="A1286" s="2">
        <v>1285</v>
      </c>
      <c r="B1286" s="7" t="s">
        <v>1079</v>
      </c>
      <c r="C1286" s="7" t="s">
        <v>119</v>
      </c>
      <c r="D1286" s="7">
        <v>2</v>
      </c>
      <c r="E1286" s="7">
        <v>2</v>
      </c>
      <c r="F1286" s="8">
        <v>1</v>
      </c>
      <c r="G1286" s="8">
        <v>1</v>
      </c>
      <c r="H1286" s="7">
        <v>1</v>
      </c>
      <c r="I1286" s="7">
        <v>1</v>
      </c>
      <c r="J1286" s="9" t="s">
        <v>35</v>
      </c>
      <c r="K1286" s="7">
        <v>1</v>
      </c>
      <c r="L1286" s="7" t="s">
        <v>52</v>
      </c>
      <c r="M1286" s="7">
        <f t="shared" si="100"/>
        <v>1</v>
      </c>
      <c r="N1286" s="9" t="s">
        <v>36</v>
      </c>
      <c r="O1286" s="7">
        <v>0</v>
      </c>
      <c r="P1286" s="9" t="s">
        <v>33</v>
      </c>
      <c r="Q1286" s="7"/>
      <c r="R1286" s="7" t="s">
        <v>38</v>
      </c>
      <c r="S1286" s="10" t="s">
        <v>2131</v>
      </c>
      <c r="T1286" s="7"/>
      <c r="U1286" s="7"/>
      <c r="V1286" s="7"/>
      <c r="W1286" s="7"/>
      <c r="X1286" s="7"/>
      <c r="Y1286" s="7"/>
      <c r="Z1286" s="7"/>
      <c r="AA1286" s="7"/>
      <c r="AB1286" s="7">
        <v>0.33333333333333298</v>
      </c>
      <c r="AC1286" s="7">
        <f t="shared" si="101"/>
        <v>0.33333333333333298</v>
      </c>
      <c r="AD1286" s="7">
        <v>1</v>
      </c>
      <c r="AE1286" s="7"/>
      <c r="AF1286" s="7" t="s">
        <v>40</v>
      </c>
      <c r="AG1286" s="7" t="s">
        <v>1088</v>
      </c>
      <c r="AH1286" s="7"/>
      <c r="AI1286" s="7"/>
      <c r="AJ1286" s="7"/>
      <c r="AK1286" s="7"/>
      <c r="AL1286" s="9"/>
      <c r="AM1286" s="7" t="s">
        <v>71</v>
      </c>
      <c r="AN1286" s="7" t="s">
        <v>71</v>
      </c>
      <c r="AO1286" s="12"/>
    </row>
    <row r="1287" spans="1:41" s="11" customFormat="1" x14ac:dyDescent="0.25">
      <c r="A1287" s="2">
        <v>1286</v>
      </c>
      <c r="B1287" s="7" t="s">
        <v>1079</v>
      </c>
      <c r="C1287" s="7" t="s">
        <v>100</v>
      </c>
      <c r="D1287" s="7" t="s">
        <v>159</v>
      </c>
      <c r="E1287" s="7">
        <v>6</v>
      </c>
      <c r="F1287" s="8">
        <v>2</v>
      </c>
      <c r="G1287" s="8">
        <v>2</v>
      </c>
      <c r="H1287" s="7" t="s">
        <v>87</v>
      </c>
      <c r="I1287" s="7">
        <v>2</v>
      </c>
      <c r="J1287" s="9" t="s">
        <v>35</v>
      </c>
      <c r="K1287" s="7">
        <v>1</v>
      </c>
      <c r="L1287" s="7" t="s">
        <v>52</v>
      </c>
      <c r="M1287" s="7">
        <f t="shared" si="100"/>
        <v>2</v>
      </c>
      <c r="N1287" s="9"/>
      <c r="O1287" s="7"/>
      <c r="P1287" s="9"/>
      <c r="Q1287" s="7"/>
      <c r="R1287" s="7"/>
      <c r="S1287" s="7"/>
      <c r="T1287" s="7"/>
      <c r="U1287" s="7"/>
      <c r="V1287" s="7"/>
      <c r="W1287" s="7"/>
      <c r="X1287" s="7">
        <v>3</v>
      </c>
      <c r="Y1287" s="7"/>
      <c r="Z1287" s="7"/>
      <c r="AA1287" s="7"/>
      <c r="AB1287" s="7">
        <f t="shared" ref="AB1287:AB1306" si="102">(U1287+X1287+Z1287)/3</f>
        <v>1</v>
      </c>
      <c r="AC1287" s="7">
        <f t="shared" si="101"/>
        <v>1</v>
      </c>
      <c r="AD1287" s="7"/>
      <c r="AE1287" s="7"/>
      <c r="AF1287" s="7"/>
      <c r="AG1287" s="7"/>
      <c r="AH1287" s="7"/>
      <c r="AI1287" s="7"/>
      <c r="AJ1287" s="7"/>
      <c r="AK1287" s="7"/>
      <c r="AL1287" s="9"/>
      <c r="AM1287" s="7" t="s">
        <v>71</v>
      </c>
      <c r="AN1287" s="7" t="s">
        <v>71</v>
      </c>
      <c r="AO1287" s="15" t="s">
        <v>2681</v>
      </c>
    </row>
    <row r="1288" spans="1:41" s="11" customFormat="1" x14ac:dyDescent="0.25">
      <c r="A1288" s="2">
        <v>1287</v>
      </c>
      <c r="B1288" s="7" t="s">
        <v>1079</v>
      </c>
      <c r="C1288" s="7" t="s">
        <v>100</v>
      </c>
      <c r="D1288" s="7">
        <v>11</v>
      </c>
      <c r="E1288" s="7">
        <v>11</v>
      </c>
      <c r="F1288" s="8">
        <v>1</v>
      </c>
      <c r="G1288" s="8">
        <v>1</v>
      </c>
      <c r="H1288" s="7">
        <v>1</v>
      </c>
      <c r="I1288" s="7">
        <v>1</v>
      </c>
      <c r="J1288" s="9" t="s">
        <v>176</v>
      </c>
      <c r="K1288" s="7">
        <v>2</v>
      </c>
      <c r="L1288" s="7" t="s">
        <v>52</v>
      </c>
      <c r="M1288" s="7">
        <f t="shared" si="100"/>
        <v>1</v>
      </c>
      <c r="N1288" s="9"/>
      <c r="O1288" s="7"/>
      <c r="P1288" s="9"/>
      <c r="Q1288" s="7"/>
      <c r="R1288" s="7"/>
      <c r="S1288" s="7"/>
      <c r="T1288" s="7"/>
      <c r="U1288" s="7"/>
      <c r="V1288" s="7"/>
      <c r="W1288" s="7"/>
      <c r="X1288" s="7">
        <v>3</v>
      </c>
      <c r="Y1288" s="7"/>
      <c r="Z1288" s="7"/>
      <c r="AA1288" s="7"/>
      <c r="AB1288" s="7">
        <f t="shared" si="102"/>
        <v>1</v>
      </c>
      <c r="AC1288" s="7">
        <f t="shared" si="101"/>
        <v>1</v>
      </c>
      <c r="AD1288" s="7"/>
      <c r="AE1288" s="7"/>
      <c r="AF1288" s="7"/>
      <c r="AG1288" s="7"/>
      <c r="AH1288" s="7"/>
      <c r="AI1288" s="7"/>
      <c r="AJ1288" s="7"/>
      <c r="AK1288" s="7"/>
      <c r="AL1288" s="9"/>
      <c r="AM1288" s="7" t="s">
        <v>71</v>
      </c>
      <c r="AN1288" s="7" t="s">
        <v>71</v>
      </c>
      <c r="AO1288" s="12"/>
    </row>
    <row r="1289" spans="1:41" s="11" customFormat="1" ht="24" x14ac:dyDescent="0.25">
      <c r="A1289" s="2">
        <v>1288</v>
      </c>
      <c r="B1289" s="7" t="s">
        <v>1079</v>
      </c>
      <c r="C1289" s="7" t="s">
        <v>1094</v>
      </c>
      <c r="D1289" s="7" t="s">
        <v>1095</v>
      </c>
      <c r="E1289" s="7">
        <v>34</v>
      </c>
      <c r="F1289" s="8">
        <v>1</v>
      </c>
      <c r="G1289" s="9" t="s">
        <v>196</v>
      </c>
      <c r="H1289" s="7">
        <v>2</v>
      </c>
      <c r="I1289" s="7">
        <v>2</v>
      </c>
      <c r="J1289" s="9" t="s">
        <v>176</v>
      </c>
      <c r="K1289" s="7">
        <v>8</v>
      </c>
      <c r="L1289" s="7" t="s">
        <v>52</v>
      </c>
      <c r="M1289" s="7">
        <f t="shared" si="100"/>
        <v>1</v>
      </c>
      <c r="N1289" s="9" t="s">
        <v>213</v>
      </c>
      <c r="O1289" s="7">
        <v>0</v>
      </c>
      <c r="P1289" s="9" t="s">
        <v>63</v>
      </c>
      <c r="Q1289" s="7" t="s">
        <v>38</v>
      </c>
      <c r="R1289" s="7" t="s">
        <v>38</v>
      </c>
      <c r="S1289" s="10" t="s">
        <v>1067</v>
      </c>
      <c r="T1289" s="7">
        <v>17</v>
      </c>
      <c r="U1289" s="7">
        <v>17</v>
      </c>
      <c r="V1289" s="7">
        <v>190</v>
      </c>
      <c r="W1289" s="7" t="s">
        <v>239</v>
      </c>
      <c r="X1289" s="7"/>
      <c r="Y1289" s="7"/>
      <c r="Z1289" s="7"/>
      <c r="AA1289" s="7"/>
      <c r="AB1289" s="7">
        <f t="shared" si="102"/>
        <v>5.666666666666667</v>
      </c>
      <c r="AC1289" s="7">
        <f t="shared" si="101"/>
        <v>5.666666666666667</v>
      </c>
      <c r="AD1289" s="7"/>
      <c r="AE1289" s="7"/>
      <c r="AF1289" s="7"/>
      <c r="AG1289" s="7"/>
      <c r="AH1289" s="7"/>
      <c r="AI1289" s="7"/>
      <c r="AJ1289" s="7"/>
      <c r="AK1289" s="7"/>
      <c r="AL1289" s="9"/>
      <c r="AM1289" s="7" t="s">
        <v>215</v>
      </c>
      <c r="AN1289" s="7" t="s">
        <v>2850</v>
      </c>
      <c r="AO1289" s="15" t="s">
        <v>2682</v>
      </c>
    </row>
    <row r="1290" spans="1:41" s="11" customFormat="1" x14ac:dyDescent="0.25">
      <c r="A1290" s="2">
        <v>1289</v>
      </c>
      <c r="B1290" s="7" t="s">
        <v>1079</v>
      </c>
      <c r="C1290" s="7" t="s">
        <v>100</v>
      </c>
      <c r="D1290" s="7">
        <v>10</v>
      </c>
      <c r="E1290" s="7">
        <v>10</v>
      </c>
      <c r="F1290" s="8">
        <v>1</v>
      </c>
      <c r="G1290" s="8">
        <v>1</v>
      </c>
      <c r="H1290" s="7">
        <v>1</v>
      </c>
      <c r="I1290" s="7">
        <v>1</v>
      </c>
      <c r="J1290" s="9" t="s">
        <v>176</v>
      </c>
      <c r="K1290" s="7">
        <v>1</v>
      </c>
      <c r="L1290" s="7" t="s">
        <v>52</v>
      </c>
      <c r="M1290" s="7">
        <f t="shared" si="100"/>
        <v>1</v>
      </c>
      <c r="N1290" s="9"/>
      <c r="O1290" s="7"/>
      <c r="P1290" s="9"/>
      <c r="Q1290" s="7"/>
      <c r="R1290" s="7"/>
      <c r="S1290" s="7"/>
      <c r="T1290" s="7"/>
      <c r="U1290" s="7"/>
      <c r="V1290" s="7"/>
      <c r="W1290" s="7"/>
      <c r="X1290" s="7">
        <v>3</v>
      </c>
      <c r="Y1290" s="7"/>
      <c r="Z1290" s="7"/>
      <c r="AA1290" s="7"/>
      <c r="AB1290" s="7">
        <f t="shared" si="102"/>
        <v>1</v>
      </c>
      <c r="AC1290" s="7">
        <f t="shared" si="101"/>
        <v>1</v>
      </c>
      <c r="AD1290" s="7"/>
      <c r="AE1290" s="7"/>
      <c r="AF1290" s="7"/>
      <c r="AG1290" s="7"/>
      <c r="AH1290" s="7"/>
      <c r="AI1290" s="7"/>
      <c r="AJ1290" s="7"/>
      <c r="AK1290" s="7"/>
      <c r="AL1290" s="9"/>
      <c r="AM1290" s="7" t="s">
        <v>71</v>
      </c>
      <c r="AN1290" s="7" t="s">
        <v>71</v>
      </c>
      <c r="AO1290" s="15" t="s">
        <v>2683</v>
      </c>
    </row>
    <row r="1291" spans="1:41" s="11" customFormat="1" x14ac:dyDescent="0.25">
      <c r="A1291" s="2">
        <v>1290</v>
      </c>
      <c r="B1291" s="7" t="s">
        <v>1079</v>
      </c>
      <c r="C1291" s="7" t="s">
        <v>32</v>
      </c>
      <c r="D1291" s="7">
        <v>41</v>
      </c>
      <c r="E1291" s="7">
        <v>41</v>
      </c>
      <c r="F1291" s="8">
        <v>1</v>
      </c>
      <c r="G1291" s="8">
        <v>1</v>
      </c>
      <c r="H1291" s="7">
        <v>1</v>
      </c>
      <c r="I1291" s="7">
        <v>1</v>
      </c>
      <c r="J1291" s="9" t="s">
        <v>176</v>
      </c>
      <c r="K1291" s="7">
        <v>3</v>
      </c>
      <c r="L1291" s="7" t="s">
        <v>52</v>
      </c>
      <c r="M1291" s="7">
        <f t="shared" si="100"/>
        <v>1</v>
      </c>
      <c r="N1291" s="9" t="s">
        <v>109</v>
      </c>
      <c r="O1291" s="7">
        <v>0</v>
      </c>
      <c r="P1291" s="9" t="s">
        <v>63</v>
      </c>
      <c r="Q1291" s="7" t="s">
        <v>38</v>
      </c>
      <c r="R1291" s="7" t="s">
        <v>38</v>
      </c>
      <c r="S1291" s="10" t="s">
        <v>2132</v>
      </c>
      <c r="T1291" s="7"/>
      <c r="U1291" s="7"/>
      <c r="V1291" s="7"/>
      <c r="W1291" s="7"/>
      <c r="X1291" s="7">
        <v>10</v>
      </c>
      <c r="Y1291" s="7">
        <v>95</v>
      </c>
      <c r="Z1291" s="7">
        <v>95</v>
      </c>
      <c r="AA1291" s="7">
        <v>47</v>
      </c>
      <c r="AB1291" s="7">
        <f t="shared" si="102"/>
        <v>35</v>
      </c>
      <c r="AC1291" s="7">
        <f t="shared" si="101"/>
        <v>35</v>
      </c>
      <c r="AD1291" s="7"/>
      <c r="AE1291" s="7"/>
      <c r="AF1291" s="7"/>
      <c r="AG1291" s="7"/>
      <c r="AH1291" s="7"/>
      <c r="AI1291" s="7"/>
      <c r="AJ1291" s="10" t="s">
        <v>2400</v>
      </c>
      <c r="AK1291" s="7"/>
      <c r="AL1291" s="9"/>
      <c r="AM1291" s="7" t="s">
        <v>582</v>
      </c>
      <c r="AN1291" s="7" t="s">
        <v>2851</v>
      </c>
      <c r="AO1291" s="15" t="s">
        <v>2682</v>
      </c>
    </row>
    <row r="1292" spans="1:41" s="11" customFormat="1" x14ac:dyDescent="0.25">
      <c r="A1292" s="2">
        <v>1291</v>
      </c>
      <c r="B1292" s="7" t="s">
        <v>1079</v>
      </c>
      <c r="C1292" s="7" t="s">
        <v>50</v>
      </c>
      <c r="D1292" s="7">
        <v>71</v>
      </c>
      <c r="E1292" s="7">
        <v>71</v>
      </c>
      <c r="F1292" s="8">
        <v>1</v>
      </c>
      <c r="G1292" s="8">
        <v>1</v>
      </c>
      <c r="H1292" s="7">
        <v>1</v>
      </c>
      <c r="I1292" s="7">
        <v>1</v>
      </c>
      <c r="J1292" s="9" t="s">
        <v>176</v>
      </c>
      <c r="K1292" s="7">
        <v>3</v>
      </c>
      <c r="L1292" s="7" t="s">
        <v>52</v>
      </c>
      <c r="M1292" s="7">
        <f t="shared" si="100"/>
        <v>1</v>
      </c>
      <c r="N1292" s="9" t="s">
        <v>109</v>
      </c>
      <c r="O1292" s="7">
        <v>0</v>
      </c>
      <c r="P1292" s="9" t="s">
        <v>63</v>
      </c>
      <c r="Q1292" s="7" t="s">
        <v>38</v>
      </c>
      <c r="R1292" s="7" t="s">
        <v>52</v>
      </c>
      <c r="S1292" s="10" t="s">
        <v>2133</v>
      </c>
      <c r="T1292" s="7"/>
      <c r="U1292" s="7"/>
      <c r="V1292" s="7"/>
      <c r="W1292" s="7"/>
      <c r="X1292" s="7"/>
      <c r="Y1292" s="7">
        <v>15</v>
      </c>
      <c r="Z1292" s="7">
        <v>15</v>
      </c>
      <c r="AA1292" s="7" t="s">
        <v>267</v>
      </c>
      <c r="AB1292" s="7">
        <f t="shared" si="102"/>
        <v>5</v>
      </c>
      <c r="AC1292" s="7">
        <f t="shared" si="101"/>
        <v>5</v>
      </c>
      <c r="AD1292" s="7"/>
      <c r="AE1292" s="7"/>
      <c r="AF1292" s="7"/>
      <c r="AG1292" s="7"/>
      <c r="AH1292" s="7"/>
      <c r="AI1292" s="7" t="s">
        <v>526</v>
      </c>
      <c r="AJ1292" s="10" t="s">
        <v>2401</v>
      </c>
      <c r="AK1292" s="7"/>
      <c r="AL1292" s="9"/>
      <c r="AM1292" s="7" t="s">
        <v>1096</v>
      </c>
      <c r="AN1292" s="7" t="s">
        <v>2850</v>
      </c>
      <c r="AO1292" s="15" t="s">
        <v>2684</v>
      </c>
    </row>
    <row r="1293" spans="1:41" s="11" customFormat="1" ht="24" x14ac:dyDescent="0.25">
      <c r="A1293" s="2">
        <v>1292</v>
      </c>
      <c r="B1293" s="7" t="s">
        <v>1079</v>
      </c>
      <c r="C1293" s="7" t="s">
        <v>237</v>
      </c>
      <c r="D1293" s="7" t="s">
        <v>1097</v>
      </c>
      <c r="E1293" s="7">
        <f>126+58+56+53+52+50+17</f>
        <v>412</v>
      </c>
      <c r="F1293" s="8">
        <v>1</v>
      </c>
      <c r="G1293" s="8">
        <v>8</v>
      </c>
      <c r="H1293" s="7" t="s">
        <v>1098</v>
      </c>
      <c r="I1293" s="7">
        <v>8</v>
      </c>
      <c r="J1293" s="9" t="s">
        <v>176</v>
      </c>
      <c r="K1293" s="7">
        <v>3</v>
      </c>
      <c r="L1293" s="7" t="s">
        <v>52</v>
      </c>
      <c r="M1293" s="7">
        <f t="shared" si="100"/>
        <v>1</v>
      </c>
      <c r="N1293" s="9" t="s">
        <v>109</v>
      </c>
      <c r="O1293" s="7">
        <v>0</v>
      </c>
      <c r="P1293" s="9" t="s">
        <v>63</v>
      </c>
      <c r="Q1293" s="7" t="s">
        <v>38</v>
      </c>
      <c r="R1293" s="7" t="s">
        <v>52</v>
      </c>
      <c r="S1293" s="10" t="s">
        <v>2134</v>
      </c>
      <c r="T1293" s="7" t="s">
        <v>1099</v>
      </c>
      <c r="U1293" s="7">
        <v>50</v>
      </c>
      <c r="V1293" s="7">
        <v>340</v>
      </c>
      <c r="W1293" s="7" t="s">
        <v>214</v>
      </c>
      <c r="X1293" s="7">
        <v>5</v>
      </c>
      <c r="Y1293" s="7"/>
      <c r="Z1293" s="7"/>
      <c r="AA1293" s="7"/>
      <c r="AB1293" s="7">
        <f t="shared" si="102"/>
        <v>18.333333333333332</v>
      </c>
      <c r="AC1293" s="7">
        <f t="shared" si="101"/>
        <v>18.333333333333332</v>
      </c>
      <c r="AD1293" s="7"/>
      <c r="AE1293" s="7"/>
      <c r="AF1293" s="7"/>
      <c r="AG1293" s="7"/>
      <c r="AH1293" s="7"/>
      <c r="AI1293" s="7" t="s">
        <v>1100</v>
      </c>
      <c r="AJ1293" s="7"/>
      <c r="AK1293" s="7"/>
      <c r="AL1293" s="9"/>
      <c r="AM1293" s="7" t="s">
        <v>215</v>
      </c>
      <c r="AN1293" s="7" t="s">
        <v>2850</v>
      </c>
      <c r="AO1293" s="15" t="s">
        <v>2685</v>
      </c>
    </row>
    <row r="1294" spans="1:41" s="11" customFormat="1" ht="24" x14ac:dyDescent="0.25">
      <c r="A1294" s="2">
        <v>1293</v>
      </c>
      <c r="B1294" s="7" t="s">
        <v>1101</v>
      </c>
      <c r="C1294" s="7" t="s">
        <v>237</v>
      </c>
      <c r="D1294" s="7" t="s">
        <v>1102</v>
      </c>
      <c r="E1294" s="7">
        <f>128+15</f>
        <v>143</v>
      </c>
      <c r="F1294" s="8">
        <v>1</v>
      </c>
      <c r="G1294" s="9" t="s">
        <v>124</v>
      </c>
      <c r="H1294" s="7">
        <v>4</v>
      </c>
      <c r="I1294" s="7">
        <v>4</v>
      </c>
      <c r="J1294" s="9" t="s">
        <v>176</v>
      </c>
      <c r="K1294" s="7">
        <v>3</v>
      </c>
      <c r="L1294" s="7" t="s">
        <v>52</v>
      </c>
      <c r="M1294" s="7">
        <f t="shared" si="100"/>
        <v>1</v>
      </c>
      <c r="N1294" s="9" t="s">
        <v>109</v>
      </c>
      <c r="O1294" s="7">
        <v>0</v>
      </c>
      <c r="P1294" s="9" t="s">
        <v>63</v>
      </c>
      <c r="Q1294" s="7" t="s">
        <v>38</v>
      </c>
      <c r="R1294" s="7" t="s">
        <v>52</v>
      </c>
      <c r="S1294" s="10" t="s">
        <v>2134</v>
      </c>
      <c r="T1294" s="7">
        <v>10</v>
      </c>
      <c r="U1294" s="7">
        <v>10</v>
      </c>
      <c r="V1294" s="7">
        <v>370</v>
      </c>
      <c r="W1294" s="7" t="s">
        <v>214</v>
      </c>
      <c r="X1294" s="7">
        <v>5</v>
      </c>
      <c r="Y1294" s="7"/>
      <c r="Z1294" s="7"/>
      <c r="AA1294" s="7"/>
      <c r="AB1294" s="7">
        <f t="shared" si="102"/>
        <v>5</v>
      </c>
      <c r="AC1294" s="7">
        <f t="shared" si="101"/>
        <v>5</v>
      </c>
      <c r="AD1294" s="7"/>
      <c r="AE1294" s="7"/>
      <c r="AF1294" s="7"/>
      <c r="AG1294" s="7"/>
      <c r="AH1294" s="7"/>
      <c r="AI1294" s="7"/>
      <c r="AJ1294" s="10" t="s">
        <v>2385</v>
      </c>
      <c r="AK1294" s="7"/>
      <c r="AL1294" s="9"/>
      <c r="AM1294" s="7" t="s">
        <v>215</v>
      </c>
      <c r="AN1294" s="7" t="s">
        <v>2850</v>
      </c>
      <c r="AO1294" s="12"/>
    </row>
    <row r="1295" spans="1:41" s="11" customFormat="1" ht="24" x14ac:dyDescent="0.25">
      <c r="A1295" s="2">
        <v>1294</v>
      </c>
      <c r="B1295" s="7" t="s">
        <v>1079</v>
      </c>
      <c r="C1295" s="7" t="s">
        <v>78</v>
      </c>
      <c r="D1295" s="7">
        <v>20</v>
      </c>
      <c r="E1295" s="7">
        <v>20</v>
      </c>
      <c r="F1295" s="8">
        <v>1</v>
      </c>
      <c r="G1295" s="8">
        <v>1</v>
      </c>
      <c r="H1295" s="7">
        <v>1</v>
      </c>
      <c r="I1295" s="7">
        <v>1</v>
      </c>
      <c r="J1295" s="9" t="s">
        <v>176</v>
      </c>
      <c r="K1295" s="7">
        <v>3</v>
      </c>
      <c r="L1295" s="7" t="s">
        <v>52</v>
      </c>
      <c r="M1295" s="7">
        <f t="shared" si="100"/>
        <v>1</v>
      </c>
      <c r="N1295" s="9" t="s">
        <v>109</v>
      </c>
      <c r="O1295" s="7">
        <v>0</v>
      </c>
      <c r="P1295" s="9" t="s">
        <v>63</v>
      </c>
      <c r="Q1295" s="7" t="s">
        <v>38</v>
      </c>
      <c r="R1295" s="7" t="s">
        <v>52</v>
      </c>
      <c r="S1295" s="10" t="s">
        <v>2135</v>
      </c>
      <c r="T1295" s="7">
        <v>7</v>
      </c>
      <c r="U1295" s="7">
        <v>7</v>
      </c>
      <c r="V1295" s="7">
        <v>230</v>
      </c>
      <c r="W1295" s="7" t="s">
        <v>214</v>
      </c>
      <c r="X1295" s="7"/>
      <c r="Y1295" s="7"/>
      <c r="Z1295" s="7"/>
      <c r="AA1295" s="7"/>
      <c r="AB1295" s="7">
        <f t="shared" si="102"/>
        <v>2.3333333333333335</v>
      </c>
      <c r="AC1295" s="7">
        <f t="shared" si="101"/>
        <v>2.3333333333333335</v>
      </c>
      <c r="AD1295" s="7"/>
      <c r="AE1295" s="7"/>
      <c r="AF1295" s="7"/>
      <c r="AG1295" s="7"/>
      <c r="AH1295" s="7"/>
      <c r="AI1295" s="7"/>
      <c r="AJ1295" s="7"/>
      <c r="AK1295" s="7"/>
      <c r="AL1295" s="9"/>
      <c r="AM1295" s="7" t="s">
        <v>215</v>
      </c>
      <c r="AN1295" s="7" t="s">
        <v>2850</v>
      </c>
      <c r="AO1295" s="15" t="s">
        <v>2686</v>
      </c>
    </row>
    <row r="1296" spans="1:41" s="11" customFormat="1" ht="24" x14ac:dyDescent="0.25">
      <c r="A1296" s="2">
        <v>1295</v>
      </c>
      <c r="B1296" s="7" t="s">
        <v>1079</v>
      </c>
      <c r="C1296" s="7" t="s">
        <v>32</v>
      </c>
      <c r="D1296" s="7">
        <v>149</v>
      </c>
      <c r="E1296" s="7">
        <v>149</v>
      </c>
      <c r="F1296" s="8">
        <v>1</v>
      </c>
      <c r="G1296" s="8">
        <v>5</v>
      </c>
      <c r="H1296" s="7">
        <v>5</v>
      </c>
      <c r="I1296" s="7">
        <v>5</v>
      </c>
      <c r="J1296" s="9" t="s">
        <v>1490</v>
      </c>
      <c r="K1296" s="7">
        <v>1</v>
      </c>
      <c r="L1296" s="7" t="s">
        <v>52</v>
      </c>
      <c r="M1296" s="7">
        <f t="shared" si="100"/>
        <v>1</v>
      </c>
      <c r="N1296" s="9" t="s">
        <v>36</v>
      </c>
      <c r="O1296" s="7">
        <v>0</v>
      </c>
      <c r="P1296" s="9" t="s">
        <v>34</v>
      </c>
      <c r="Q1296" s="7" t="s">
        <v>38</v>
      </c>
      <c r="R1296" s="7" t="s">
        <v>38</v>
      </c>
      <c r="S1296" s="10" t="s">
        <v>2136</v>
      </c>
      <c r="T1296" s="7"/>
      <c r="U1296" s="7"/>
      <c r="V1296" s="7"/>
      <c r="W1296" s="7"/>
      <c r="X1296" s="7">
        <v>10</v>
      </c>
      <c r="Y1296" s="7">
        <v>100</v>
      </c>
      <c r="Z1296" s="7">
        <v>100</v>
      </c>
      <c r="AA1296" s="7">
        <v>68</v>
      </c>
      <c r="AB1296" s="7">
        <f t="shared" si="102"/>
        <v>36.666666666666664</v>
      </c>
      <c r="AC1296" s="7">
        <f t="shared" si="101"/>
        <v>36.666666666666664</v>
      </c>
      <c r="AD1296" s="7"/>
      <c r="AE1296" s="7"/>
      <c r="AF1296" s="7"/>
      <c r="AG1296" s="7"/>
      <c r="AH1296" s="7"/>
      <c r="AI1296" s="7"/>
      <c r="AJ1296" s="7"/>
      <c r="AK1296" s="7"/>
      <c r="AL1296" s="9"/>
      <c r="AM1296" s="7" t="s">
        <v>42</v>
      </c>
      <c r="AN1296" s="7" t="s">
        <v>42</v>
      </c>
      <c r="AO1296" s="15" t="s">
        <v>2687</v>
      </c>
    </row>
    <row r="1297" spans="1:41" s="11" customFormat="1" ht="24" x14ac:dyDescent="0.25">
      <c r="A1297" s="2">
        <v>1296</v>
      </c>
      <c r="B1297" s="7" t="s">
        <v>1103</v>
      </c>
      <c r="C1297" s="7" t="s">
        <v>78</v>
      </c>
      <c r="D1297" s="7" t="s">
        <v>159</v>
      </c>
      <c r="E1297" s="7">
        <v>6</v>
      </c>
      <c r="F1297" s="8">
        <v>1</v>
      </c>
      <c r="G1297" s="8">
        <v>2</v>
      </c>
      <c r="H1297" s="7">
        <v>2</v>
      </c>
      <c r="I1297" s="7">
        <v>2</v>
      </c>
      <c r="J1297" s="9" t="s">
        <v>35</v>
      </c>
      <c r="K1297" s="7">
        <v>2</v>
      </c>
      <c r="L1297" s="7" t="s">
        <v>52</v>
      </c>
      <c r="M1297" s="7">
        <f t="shared" si="100"/>
        <v>1</v>
      </c>
      <c r="N1297" s="9" t="s">
        <v>36</v>
      </c>
      <c r="O1297" s="7">
        <v>0</v>
      </c>
      <c r="P1297" s="9" t="s">
        <v>63</v>
      </c>
      <c r="Q1297" s="7" t="s">
        <v>38</v>
      </c>
      <c r="R1297" s="7" t="s">
        <v>38</v>
      </c>
      <c r="S1297" s="10" t="s">
        <v>2137</v>
      </c>
      <c r="T1297" s="7">
        <v>15</v>
      </c>
      <c r="U1297" s="7">
        <v>15</v>
      </c>
      <c r="V1297" s="7">
        <v>90</v>
      </c>
      <c r="W1297" s="7" t="s">
        <v>83</v>
      </c>
      <c r="X1297" s="7"/>
      <c r="Y1297" s="7"/>
      <c r="Z1297" s="7"/>
      <c r="AA1297" s="7"/>
      <c r="AB1297" s="7">
        <f t="shared" si="102"/>
        <v>5</v>
      </c>
      <c r="AC1297" s="7">
        <f t="shared" si="101"/>
        <v>5</v>
      </c>
      <c r="AD1297" s="7"/>
      <c r="AE1297" s="7"/>
      <c r="AF1297" s="7"/>
      <c r="AG1297" s="7"/>
      <c r="AH1297" s="7"/>
      <c r="AI1297" s="7"/>
      <c r="AJ1297" s="7"/>
      <c r="AK1297" s="7"/>
      <c r="AL1297" s="9"/>
      <c r="AM1297" s="7" t="s">
        <v>42</v>
      </c>
      <c r="AN1297" s="7" t="s">
        <v>42</v>
      </c>
      <c r="AO1297" s="15" t="s">
        <v>2632</v>
      </c>
    </row>
    <row r="1298" spans="1:41" s="11" customFormat="1" ht="24" x14ac:dyDescent="0.25">
      <c r="A1298" s="2">
        <v>1297</v>
      </c>
      <c r="B1298" s="7" t="s">
        <v>1103</v>
      </c>
      <c r="C1298" s="7" t="s">
        <v>78</v>
      </c>
      <c r="D1298" s="7">
        <v>14</v>
      </c>
      <c r="E1298" s="7">
        <v>14</v>
      </c>
      <c r="F1298" s="8">
        <v>1</v>
      </c>
      <c r="G1298" s="8">
        <v>1</v>
      </c>
      <c r="H1298" s="7">
        <v>1</v>
      </c>
      <c r="I1298" s="7">
        <v>1</v>
      </c>
      <c r="J1298" s="9" t="s">
        <v>35</v>
      </c>
      <c r="K1298" s="7">
        <v>2</v>
      </c>
      <c r="L1298" s="7" t="s">
        <v>52</v>
      </c>
      <c r="M1298" s="7">
        <f t="shared" si="100"/>
        <v>1</v>
      </c>
      <c r="N1298" s="9" t="s">
        <v>34</v>
      </c>
      <c r="O1298" s="7">
        <v>2</v>
      </c>
      <c r="P1298" s="9" t="s">
        <v>37</v>
      </c>
      <c r="Q1298" s="7" t="s">
        <v>38</v>
      </c>
      <c r="R1298" s="7" t="s">
        <v>38</v>
      </c>
      <c r="S1298" s="10" t="s">
        <v>2091</v>
      </c>
      <c r="T1298" s="7">
        <v>11</v>
      </c>
      <c r="U1298" s="7">
        <v>11</v>
      </c>
      <c r="V1298" s="7">
        <v>150</v>
      </c>
      <c r="W1298" s="7" t="s">
        <v>1050</v>
      </c>
      <c r="X1298" s="7"/>
      <c r="Y1298" s="7"/>
      <c r="Z1298" s="7"/>
      <c r="AA1298" s="7"/>
      <c r="AB1298" s="7">
        <f t="shared" si="102"/>
        <v>3.6666666666666665</v>
      </c>
      <c r="AC1298" s="7">
        <f t="shared" si="101"/>
        <v>3.6666666666666665</v>
      </c>
      <c r="AD1298" s="7"/>
      <c r="AE1298" s="7"/>
      <c r="AF1298" s="7"/>
      <c r="AG1298" s="7"/>
      <c r="AH1298" s="7"/>
      <c r="AI1298" s="7"/>
      <c r="AJ1298" s="7"/>
      <c r="AK1298" s="7"/>
      <c r="AL1298" s="9"/>
      <c r="AM1298" s="7" t="s">
        <v>137</v>
      </c>
      <c r="AN1298" s="7" t="s">
        <v>2848</v>
      </c>
      <c r="AO1298" s="12"/>
    </row>
    <row r="1299" spans="1:41" s="11" customFormat="1" x14ac:dyDescent="0.25">
      <c r="A1299" s="2">
        <v>1298</v>
      </c>
      <c r="B1299" s="7" t="s">
        <v>1103</v>
      </c>
      <c r="C1299" s="7" t="s">
        <v>50</v>
      </c>
      <c r="D1299" s="7">
        <v>23</v>
      </c>
      <c r="E1299" s="7">
        <v>23</v>
      </c>
      <c r="F1299" s="8">
        <v>1</v>
      </c>
      <c r="G1299" s="8">
        <v>1</v>
      </c>
      <c r="H1299" s="7">
        <v>1</v>
      </c>
      <c r="I1299" s="7">
        <v>1</v>
      </c>
      <c r="J1299" s="9" t="s">
        <v>35</v>
      </c>
      <c r="K1299" s="7">
        <v>2</v>
      </c>
      <c r="L1299" s="7" t="s">
        <v>52</v>
      </c>
      <c r="M1299" s="7">
        <f t="shared" si="100"/>
        <v>1</v>
      </c>
      <c r="N1299" s="9" t="s">
        <v>34</v>
      </c>
      <c r="O1299" s="7">
        <v>0</v>
      </c>
      <c r="P1299" s="9" t="s">
        <v>63</v>
      </c>
      <c r="Q1299" s="7" t="s">
        <v>38</v>
      </c>
      <c r="R1299" s="7" t="s">
        <v>38</v>
      </c>
      <c r="S1299" s="10" t="s">
        <v>2138</v>
      </c>
      <c r="T1299" s="7"/>
      <c r="U1299" s="7"/>
      <c r="V1299" s="7"/>
      <c r="W1299" s="7"/>
      <c r="X1299" s="7"/>
      <c r="Y1299" s="7">
        <v>25</v>
      </c>
      <c r="Z1299" s="7">
        <v>25</v>
      </c>
      <c r="AA1299" s="7">
        <v>70</v>
      </c>
      <c r="AB1299" s="7">
        <f t="shared" si="102"/>
        <v>8.3333333333333339</v>
      </c>
      <c r="AC1299" s="7">
        <f t="shared" si="101"/>
        <v>8.3333333333333339</v>
      </c>
      <c r="AD1299" s="7"/>
      <c r="AE1299" s="7"/>
      <c r="AF1299" s="7"/>
      <c r="AG1299" s="7"/>
      <c r="AH1299" s="7"/>
      <c r="AI1299" s="7"/>
      <c r="AJ1299" s="7"/>
      <c r="AK1299" s="7"/>
      <c r="AL1299" s="9"/>
      <c r="AM1299" s="7" t="s">
        <v>42</v>
      </c>
      <c r="AN1299" s="7" t="s">
        <v>42</v>
      </c>
      <c r="AO1299" s="12"/>
    </row>
    <row r="1300" spans="1:41" s="11" customFormat="1" x14ac:dyDescent="0.25">
      <c r="A1300" s="2">
        <v>1299</v>
      </c>
      <c r="B1300" s="7" t="s">
        <v>1103</v>
      </c>
      <c r="C1300" s="7" t="s">
        <v>104</v>
      </c>
      <c r="D1300" s="7">
        <v>11</v>
      </c>
      <c r="E1300" s="7">
        <v>11</v>
      </c>
      <c r="F1300" s="8">
        <v>1</v>
      </c>
      <c r="G1300" s="8">
        <v>1</v>
      </c>
      <c r="H1300" s="7">
        <v>1</v>
      </c>
      <c r="I1300" s="7">
        <v>1</v>
      </c>
      <c r="J1300" s="9" t="s">
        <v>35</v>
      </c>
      <c r="K1300" s="7">
        <v>2</v>
      </c>
      <c r="L1300" s="7" t="s">
        <v>52</v>
      </c>
      <c r="M1300" s="7">
        <f t="shared" si="100"/>
        <v>1</v>
      </c>
      <c r="N1300" s="9" t="s">
        <v>34</v>
      </c>
      <c r="O1300" s="7">
        <v>0</v>
      </c>
      <c r="P1300" s="9" t="s">
        <v>63</v>
      </c>
      <c r="Q1300" s="7" t="s">
        <v>38</v>
      </c>
      <c r="R1300" s="7" t="s">
        <v>38</v>
      </c>
      <c r="S1300" s="7"/>
      <c r="T1300" s="7"/>
      <c r="U1300" s="7"/>
      <c r="V1300" s="7"/>
      <c r="W1300" s="7"/>
      <c r="X1300" s="7">
        <v>3</v>
      </c>
      <c r="Y1300" s="7"/>
      <c r="Z1300" s="7"/>
      <c r="AA1300" s="7"/>
      <c r="AB1300" s="7">
        <f t="shared" si="102"/>
        <v>1</v>
      </c>
      <c r="AC1300" s="7">
        <f t="shared" si="101"/>
        <v>1</v>
      </c>
      <c r="AD1300" s="7"/>
      <c r="AE1300" s="7">
        <v>1</v>
      </c>
      <c r="AF1300" s="7" t="s">
        <v>40</v>
      </c>
      <c r="AG1300" s="7" t="s">
        <v>1104</v>
      </c>
      <c r="AH1300" s="7"/>
      <c r="AI1300" s="7"/>
      <c r="AJ1300" s="7"/>
      <c r="AK1300" s="7"/>
      <c r="AL1300" s="9"/>
      <c r="AM1300" s="7" t="s">
        <v>71</v>
      </c>
      <c r="AN1300" s="7" t="s">
        <v>71</v>
      </c>
      <c r="AO1300" s="12"/>
    </row>
    <row r="1301" spans="1:41" s="11" customFormat="1" x14ac:dyDescent="0.25">
      <c r="A1301" s="2">
        <v>1300</v>
      </c>
      <c r="B1301" s="7" t="s">
        <v>1103</v>
      </c>
      <c r="C1301" s="7" t="s">
        <v>104</v>
      </c>
      <c r="D1301" s="7">
        <v>9</v>
      </c>
      <c r="E1301" s="7">
        <v>9</v>
      </c>
      <c r="F1301" s="8">
        <v>1</v>
      </c>
      <c r="G1301" s="8">
        <v>1</v>
      </c>
      <c r="H1301" s="7">
        <v>1</v>
      </c>
      <c r="I1301" s="7">
        <v>1</v>
      </c>
      <c r="J1301" s="9" t="s">
        <v>35</v>
      </c>
      <c r="K1301" s="7">
        <v>2</v>
      </c>
      <c r="L1301" s="7" t="s">
        <v>52</v>
      </c>
      <c r="M1301" s="7">
        <f t="shared" si="100"/>
        <v>1</v>
      </c>
      <c r="N1301" s="9" t="s">
        <v>34</v>
      </c>
      <c r="O1301" s="7">
        <v>0</v>
      </c>
      <c r="P1301" s="9" t="s">
        <v>63</v>
      </c>
      <c r="Q1301" s="7" t="s">
        <v>52</v>
      </c>
      <c r="R1301" s="7" t="s">
        <v>38</v>
      </c>
      <c r="S1301" s="10" t="s">
        <v>1556</v>
      </c>
      <c r="T1301" s="7"/>
      <c r="U1301" s="7"/>
      <c r="V1301" s="7"/>
      <c r="W1301" s="7"/>
      <c r="X1301" s="7">
        <v>3</v>
      </c>
      <c r="Y1301" s="7"/>
      <c r="Z1301" s="7"/>
      <c r="AA1301" s="7"/>
      <c r="AB1301" s="7">
        <f t="shared" si="102"/>
        <v>1</v>
      </c>
      <c r="AC1301" s="7">
        <f t="shared" si="101"/>
        <v>1</v>
      </c>
      <c r="AD1301" s="7"/>
      <c r="AE1301" s="7">
        <v>1</v>
      </c>
      <c r="AF1301" s="7" t="s">
        <v>40</v>
      </c>
      <c r="AG1301" s="7" t="s">
        <v>711</v>
      </c>
      <c r="AH1301" s="7"/>
      <c r="AI1301" s="7"/>
      <c r="AJ1301" s="7"/>
      <c r="AK1301" s="7"/>
      <c r="AL1301" s="9"/>
      <c r="AM1301" s="7" t="s">
        <v>71</v>
      </c>
      <c r="AN1301" s="7" t="s">
        <v>71</v>
      </c>
      <c r="AO1301" s="12"/>
    </row>
    <row r="1302" spans="1:41" s="11" customFormat="1" x14ac:dyDescent="0.25">
      <c r="A1302" s="2">
        <v>1301</v>
      </c>
      <c r="B1302" s="7" t="s">
        <v>1103</v>
      </c>
      <c r="C1302" s="7" t="s">
        <v>50</v>
      </c>
      <c r="D1302" s="7">
        <v>16</v>
      </c>
      <c r="E1302" s="7">
        <v>16</v>
      </c>
      <c r="F1302" s="8">
        <v>1</v>
      </c>
      <c r="G1302" s="8">
        <v>1</v>
      </c>
      <c r="H1302" s="7">
        <v>1</v>
      </c>
      <c r="I1302" s="7">
        <v>1</v>
      </c>
      <c r="J1302" s="9" t="s">
        <v>77</v>
      </c>
      <c r="K1302" s="7">
        <v>2</v>
      </c>
      <c r="L1302" s="7" t="s">
        <v>52</v>
      </c>
      <c r="M1302" s="7">
        <f t="shared" si="100"/>
        <v>1</v>
      </c>
      <c r="N1302" s="9" t="s">
        <v>34</v>
      </c>
      <c r="O1302" s="7">
        <v>0</v>
      </c>
      <c r="P1302" s="9" t="s">
        <v>36</v>
      </c>
      <c r="Q1302" s="7" t="s">
        <v>38</v>
      </c>
      <c r="R1302" s="7"/>
      <c r="S1302" s="10" t="s">
        <v>1492</v>
      </c>
      <c r="T1302" s="7"/>
      <c r="U1302" s="7"/>
      <c r="V1302" s="7"/>
      <c r="W1302" s="7"/>
      <c r="X1302" s="7"/>
      <c r="Y1302" s="7">
        <v>85</v>
      </c>
      <c r="Z1302" s="7">
        <v>85</v>
      </c>
      <c r="AA1302" s="7" t="s">
        <v>76</v>
      </c>
      <c r="AB1302" s="7">
        <f t="shared" si="102"/>
        <v>28.333333333333332</v>
      </c>
      <c r="AC1302" s="7">
        <f t="shared" si="101"/>
        <v>28.333333333333332</v>
      </c>
      <c r="AD1302" s="7"/>
      <c r="AE1302" s="7"/>
      <c r="AF1302" s="7"/>
      <c r="AG1302" s="7"/>
      <c r="AH1302" s="7"/>
      <c r="AI1302" s="7"/>
      <c r="AJ1302" s="7"/>
      <c r="AK1302" s="7"/>
      <c r="AL1302" s="9"/>
      <c r="AM1302" s="7" t="s">
        <v>71</v>
      </c>
      <c r="AN1302" s="7" t="s">
        <v>71</v>
      </c>
      <c r="AO1302" s="12"/>
    </row>
    <row r="1303" spans="1:41" s="11" customFormat="1" x14ac:dyDescent="0.25">
      <c r="A1303" s="2">
        <v>1302</v>
      </c>
      <c r="B1303" s="7" t="s">
        <v>1103</v>
      </c>
      <c r="C1303" s="7" t="s">
        <v>78</v>
      </c>
      <c r="D1303" s="7">
        <v>3</v>
      </c>
      <c r="E1303" s="7">
        <v>3</v>
      </c>
      <c r="F1303" s="8">
        <v>1</v>
      </c>
      <c r="G1303" s="8">
        <v>1</v>
      </c>
      <c r="H1303" s="7">
        <v>1</v>
      </c>
      <c r="I1303" s="7">
        <v>1</v>
      </c>
      <c r="J1303" s="9" t="s">
        <v>77</v>
      </c>
      <c r="K1303" s="7">
        <v>1</v>
      </c>
      <c r="L1303" s="7" t="s">
        <v>38</v>
      </c>
      <c r="M1303" s="7">
        <f t="shared" si="100"/>
        <v>0</v>
      </c>
      <c r="N1303" s="9" t="s">
        <v>34</v>
      </c>
      <c r="O1303" s="7">
        <v>0</v>
      </c>
      <c r="P1303" s="9" t="s">
        <v>36</v>
      </c>
      <c r="Q1303" s="7" t="s">
        <v>38</v>
      </c>
      <c r="R1303" s="7" t="s">
        <v>38</v>
      </c>
      <c r="S1303" s="10" t="s">
        <v>1518</v>
      </c>
      <c r="T1303" s="7">
        <v>10</v>
      </c>
      <c r="U1303" s="7">
        <v>10</v>
      </c>
      <c r="V1303" s="7">
        <v>100</v>
      </c>
      <c r="W1303" s="7" t="s">
        <v>88</v>
      </c>
      <c r="X1303" s="7"/>
      <c r="Y1303" s="7"/>
      <c r="Z1303" s="7"/>
      <c r="AA1303" s="7"/>
      <c r="AB1303" s="7">
        <f t="shared" si="102"/>
        <v>3.3333333333333335</v>
      </c>
      <c r="AC1303" s="7">
        <f t="shared" si="101"/>
        <v>0</v>
      </c>
      <c r="AD1303" s="7"/>
      <c r="AE1303" s="7"/>
      <c r="AF1303" s="7"/>
      <c r="AG1303" s="7"/>
      <c r="AH1303" s="7"/>
      <c r="AI1303" s="7"/>
      <c r="AJ1303" s="7"/>
      <c r="AK1303" s="7"/>
      <c r="AL1303" s="9"/>
      <c r="AM1303" s="7" t="s">
        <v>42</v>
      </c>
      <c r="AN1303" s="7" t="s">
        <v>42</v>
      </c>
      <c r="AO1303" s="12"/>
    </row>
    <row r="1304" spans="1:41" s="11" customFormat="1" x14ac:dyDescent="0.25">
      <c r="A1304" s="2">
        <v>1303</v>
      </c>
      <c r="B1304" s="7" t="s">
        <v>1105</v>
      </c>
      <c r="C1304" s="7" t="s">
        <v>50</v>
      </c>
      <c r="D1304" s="7">
        <v>164</v>
      </c>
      <c r="E1304" s="7">
        <v>164</v>
      </c>
      <c r="F1304" s="8">
        <v>1</v>
      </c>
      <c r="G1304" s="9" t="s">
        <v>168</v>
      </c>
      <c r="H1304" s="7">
        <v>3</v>
      </c>
      <c r="I1304" s="7">
        <v>3</v>
      </c>
      <c r="J1304" s="9" t="s">
        <v>35</v>
      </c>
      <c r="K1304" s="7">
        <v>2</v>
      </c>
      <c r="L1304" s="7" t="s">
        <v>52</v>
      </c>
      <c r="M1304" s="7">
        <f t="shared" si="100"/>
        <v>1</v>
      </c>
      <c r="N1304" s="9" t="s">
        <v>36</v>
      </c>
      <c r="O1304" s="7">
        <v>1</v>
      </c>
      <c r="P1304" s="9" t="s">
        <v>63</v>
      </c>
      <c r="Q1304" s="7" t="s">
        <v>38</v>
      </c>
      <c r="R1304" s="7" t="s">
        <v>38</v>
      </c>
      <c r="S1304" s="10" t="s">
        <v>2139</v>
      </c>
      <c r="T1304" s="7"/>
      <c r="U1304" s="7"/>
      <c r="V1304" s="7"/>
      <c r="W1304" s="7"/>
      <c r="X1304" s="7"/>
      <c r="Y1304" s="7">
        <v>55</v>
      </c>
      <c r="Z1304" s="7">
        <v>55</v>
      </c>
      <c r="AA1304" s="7">
        <v>93</v>
      </c>
      <c r="AB1304" s="7">
        <f t="shared" si="102"/>
        <v>18.333333333333332</v>
      </c>
      <c r="AC1304" s="7">
        <f t="shared" si="101"/>
        <v>18.333333333333332</v>
      </c>
      <c r="AD1304" s="7"/>
      <c r="AE1304" s="7"/>
      <c r="AF1304" s="7"/>
      <c r="AG1304" s="7"/>
      <c r="AH1304" s="7"/>
      <c r="AI1304" s="7"/>
      <c r="AJ1304" s="7"/>
      <c r="AK1304" s="7"/>
      <c r="AL1304" s="9"/>
      <c r="AM1304" s="7" t="s">
        <v>137</v>
      </c>
      <c r="AN1304" s="7" t="s">
        <v>2848</v>
      </c>
      <c r="AO1304" s="12"/>
    </row>
    <row r="1305" spans="1:41" s="11" customFormat="1" ht="24" x14ac:dyDescent="0.25">
      <c r="A1305" s="2">
        <v>1304</v>
      </c>
      <c r="B1305" s="7" t="s">
        <v>1106</v>
      </c>
      <c r="C1305" s="7" t="s">
        <v>421</v>
      </c>
      <c r="D1305" s="7" t="s">
        <v>1107</v>
      </c>
      <c r="E1305" s="7">
        <f>101+36+35+26+24</f>
        <v>222</v>
      </c>
      <c r="F1305" s="7">
        <v>1</v>
      </c>
      <c r="G1305" s="9" t="s">
        <v>1108</v>
      </c>
      <c r="H1305" s="7">
        <v>6</v>
      </c>
      <c r="I1305" s="7">
        <v>6</v>
      </c>
      <c r="J1305" s="9" t="s">
        <v>176</v>
      </c>
      <c r="K1305" s="7">
        <v>3</v>
      </c>
      <c r="L1305" s="7" t="s">
        <v>52</v>
      </c>
      <c r="M1305" s="7">
        <f t="shared" si="100"/>
        <v>1</v>
      </c>
      <c r="N1305" s="9" t="s">
        <v>109</v>
      </c>
      <c r="O1305" s="7">
        <v>0</v>
      </c>
      <c r="P1305" s="9" t="s">
        <v>63</v>
      </c>
      <c r="Q1305" s="7" t="s">
        <v>38</v>
      </c>
      <c r="R1305" s="7" t="s">
        <v>52</v>
      </c>
      <c r="S1305" s="10" t="s">
        <v>2140</v>
      </c>
      <c r="T1305" s="7">
        <v>4</v>
      </c>
      <c r="U1305" s="7">
        <v>4</v>
      </c>
      <c r="V1305" s="7" t="s">
        <v>1109</v>
      </c>
      <c r="W1305" s="7" t="s">
        <v>214</v>
      </c>
      <c r="X1305" s="7">
        <v>8</v>
      </c>
      <c r="Y1305" s="7">
        <v>10</v>
      </c>
      <c r="Z1305" s="7">
        <v>10</v>
      </c>
      <c r="AA1305" s="7" t="s">
        <v>1110</v>
      </c>
      <c r="AB1305" s="7">
        <f t="shared" si="102"/>
        <v>7.333333333333333</v>
      </c>
      <c r="AC1305" s="7">
        <f t="shared" si="101"/>
        <v>7.333333333333333</v>
      </c>
      <c r="AD1305" s="7"/>
      <c r="AE1305" s="7"/>
      <c r="AF1305" s="7"/>
      <c r="AG1305" s="7"/>
      <c r="AH1305" s="7"/>
      <c r="AI1305" s="7"/>
      <c r="AJ1305" s="10" t="s">
        <v>2401</v>
      </c>
      <c r="AK1305" s="7"/>
      <c r="AL1305" s="9"/>
      <c r="AM1305" s="7" t="s">
        <v>215</v>
      </c>
      <c r="AN1305" s="7" t="s">
        <v>2850</v>
      </c>
      <c r="AO1305" s="15" t="s">
        <v>2688</v>
      </c>
    </row>
    <row r="1306" spans="1:41" s="11" customFormat="1" x14ac:dyDescent="0.25">
      <c r="A1306" s="2">
        <v>1305</v>
      </c>
      <c r="B1306" s="7" t="s">
        <v>1111</v>
      </c>
      <c r="C1306" s="7" t="s">
        <v>50</v>
      </c>
      <c r="D1306" s="7">
        <v>210</v>
      </c>
      <c r="E1306" s="7">
        <v>210</v>
      </c>
      <c r="F1306" s="8">
        <v>1</v>
      </c>
      <c r="G1306" s="8">
        <v>1</v>
      </c>
      <c r="H1306" s="7">
        <v>1</v>
      </c>
      <c r="I1306" s="7">
        <v>1</v>
      </c>
      <c r="J1306" s="9" t="s">
        <v>219</v>
      </c>
      <c r="K1306" s="7">
        <v>6</v>
      </c>
      <c r="L1306" s="7" t="s">
        <v>52</v>
      </c>
      <c r="M1306" s="7">
        <f t="shared" si="100"/>
        <v>1</v>
      </c>
      <c r="N1306" s="9"/>
      <c r="O1306" s="7"/>
      <c r="P1306" s="9"/>
      <c r="Q1306" s="7" t="s">
        <v>52</v>
      </c>
      <c r="R1306" s="7" t="s">
        <v>52</v>
      </c>
      <c r="S1306" s="10" t="s">
        <v>2141</v>
      </c>
      <c r="T1306" s="7"/>
      <c r="U1306" s="7"/>
      <c r="V1306" s="7"/>
      <c r="W1306" s="7"/>
      <c r="X1306" s="7"/>
      <c r="Y1306" s="7">
        <v>10</v>
      </c>
      <c r="Z1306" s="7">
        <v>10</v>
      </c>
      <c r="AA1306" s="7">
        <v>210</v>
      </c>
      <c r="AB1306" s="7">
        <f t="shared" si="102"/>
        <v>3.3333333333333335</v>
      </c>
      <c r="AC1306" s="7">
        <f t="shared" si="101"/>
        <v>3.3333333333333335</v>
      </c>
      <c r="AD1306" s="7"/>
      <c r="AE1306" s="7"/>
      <c r="AF1306" s="7"/>
      <c r="AG1306" s="7"/>
      <c r="AH1306" s="7"/>
      <c r="AI1306" s="7"/>
      <c r="AJ1306" s="7"/>
      <c r="AK1306" s="7"/>
      <c r="AL1306" s="9"/>
      <c r="AM1306" s="7" t="s">
        <v>636</v>
      </c>
      <c r="AN1306" s="7" t="s">
        <v>662</v>
      </c>
      <c r="AO1306" s="12"/>
    </row>
    <row r="1307" spans="1:41" s="11" customFormat="1" x14ac:dyDescent="0.25">
      <c r="A1307" s="2">
        <v>1306</v>
      </c>
      <c r="B1307" s="7" t="s">
        <v>1111</v>
      </c>
      <c r="C1307" s="7" t="s">
        <v>119</v>
      </c>
      <c r="D1307" s="7">
        <v>5</v>
      </c>
      <c r="E1307" s="7">
        <v>5</v>
      </c>
      <c r="F1307" s="8">
        <v>1</v>
      </c>
      <c r="G1307" s="8">
        <v>1</v>
      </c>
      <c r="H1307" s="7">
        <v>1</v>
      </c>
      <c r="I1307" s="7">
        <v>1</v>
      </c>
      <c r="J1307" s="9" t="s">
        <v>35</v>
      </c>
      <c r="K1307" s="7">
        <v>2</v>
      </c>
      <c r="L1307" s="7" t="s">
        <v>52</v>
      </c>
      <c r="M1307" s="7">
        <f t="shared" si="100"/>
        <v>1</v>
      </c>
      <c r="N1307" s="9" t="s">
        <v>36</v>
      </c>
      <c r="O1307" s="7">
        <v>0</v>
      </c>
      <c r="P1307" s="9" t="s">
        <v>33</v>
      </c>
      <c r="Q1307" s="7"/>
      <c r="R1307" s="7" t="s">
        <v>38</v>
      </c>
      <c r="S1307" s="7" t="s">
        <v>307</v>
      </c>
      <c r="T1307" s="7"/>
      <c r="U1307" s="7"/>
      <c r="V1307" s="7"/>
      <c r="W1307" s="7"/>
      <c r="X1307" s="7"/>
      <c r="Y1307" s="7"/>
      <c r="Z1307" s="7"/>
      <c r="AA1307" s="7"/>
      <c r="AB1307" s="7">
        <v>0.33333333333333298</v>
      </c>
      <c r="AC1307" s="7">
        <f t="shared" si="101"/>
        <v>0.33333333333333298</v>
      </c>
      <c r="AD1307" s="7">
        <v>1</v>
      </c>
      <c r="AE1307" s="7"/>
      <c r="AF1307" s="7" t="s">
        <v>40</v>
      </c>
      <c r="AG1307" s="7" t="s">
        <v>1112</v>
      </c>
      <c r="AH1307" s="7"/>
      <c r="AI1307" s="7"/>
      <c r="AJ1307" s="7"/>
      <c r="AK1307" s="7"/>
      <c r="AL1307" s="9"/>
      <c r="AM1307" s="7" t="s">
        <v>71</v>
      </c>
      <c r="AN1307" s="7" t="s">
        <v>71</v>
      </c>
      <c r="AO1307" s="12"/>
    </row>
    <row r="1308" spans="1:41" s="11" customFormat="1" ht="24" x14ac:dyDescent="0.25">
      <c r="A1308" s="2">
        <v>1307</v>
      </c>
      <c r="B1308" s="7" t="s">
        <v>1111</v>
      </c>
      <c r="C1308" s="7" t="s">
        <v>32</v>
      </c>
      <c r="D1308" s="7" t="s">
        <v>1113</v>
      </c>
      <c r="E1308" s="7">
        <f>237+32+9</f>
        <v>278</v>
      </c>
      <c r="F1308" s="8">
        <v>1</v>
      </c>
      <c r="G1308" s="8">
        <v>10</v>
      </c>
      <c r="H1308" s="7">
        <v>10</v>
      </c>
      <c r="I1308" s="7">
        <v>10</v>
      </c>
      <c r="J1308" s="9" t="s">
        <v>35</v>
      </c>
      <c r="K1308" s="7">
        <v>2</v>
      </c>
      <c r="L1308" s="7" t="s">
        <v>52</v>
      </c>
      <c r="M1308" s="7">
        <f t="shared" si="100"/>
        <v>1</v>
      </c>
      <c r="N1308" s="9" t="s">
        <v>34</v>
      </c>
      <c r="O1308" s="7">
        <v>0</v>
      </c>
      <c r="P1308" s="9" t="s">
        <v>34</v>
      </c>
      <c r="Q1308" s="7" t="s">
        <v>38</v>
      </c>
      <c r="R1308" s="7" t="s">
        <v>38</v>
      </c>
      <c r="S1308" s="10" t="s">
        <v>2142</v>
      </c>
      <c r="T1308" s="7"/>
      <c r="U1308" s="7"/>
      <c r="V1308" s="7"/>
      <c r="W1308" s="7"/>
      <c r="X1308" s="7">
        <v>35</v>
      </c>
      <c r="Y1308" s="7">
        <v>95</v>
      </c>
      <c r="Z1308" s="7">
        <v>95</v>
      </c>
      <c r="AA1308" s="7">
        <v>70</v>
      </c>
      <c r="AB1308" s="7">
        <f>(U1308+X1308+Z1308)/3</f>
        <v>43.333333333333336</v>
      </c>
      <c r="AC1308" s="7">
        <f t="shared" si="101"/>
        <v>43.333333333333336</v>
      </c>
      <c r="AD1308" s="7">
        <v>1</v>
      </c>
      <c r="AE1308" s="7">
        <v>1</v>
      </c>
      <c r="AF1308" s="7" t="s">
        <v>40</v>
      </c>
      <c r="AG1308" s="7" t="s">
        <v>1114</v>
      </c>
      <c r="AH1308" s="7" t="s">
        <v>38</v>
      </c>
      <c r="AI1308" s="7"/>
      <c r="AJ1308" s="7"/>
      <c r="AK1308" s="7"/>
      <c r="AL1308" s="9"/>
      <c r="AM1308" s="7" t="s">
        <v>42</v>
      </c>
      <c r="AN1308" s="7" t="s">
        <v>42</v>
      </c>
      <c r="AO1308" s="12"/>
    </row>
    <row r="1309" spans="1:41" s="11" customFormat="1" x14ac:dyDescent="0.25">
      <c r="A1309" s="2">
        <v>1308</v>
      </c>
      <c r="B1309" s="7" t="s">
        <v>1111</v>
      </c>
      <c r="C1309" s="7" t="s">
        <v>78</v>
      </c>
      <c r="D1309" s="7" t="s">
        <v>1115</v>
      </c>
      <c r="E1309" s="7">
        <v>41</v>
      </c>
      <c r="F1309" s="8">
        <v>1</v>
      </c>
      <c r="G1309" s="9" t="s">
        <v>95</v>
      </c>
      <c r="H1309" s="7">
        <v>3</v>
      </c>
      <c r="I1309" s="7">
        <v>3</v>
      </c>
      <c r="J1309" s="9" t="s">
        <v>35</v>
      </c>
      <c r="K1309" s="7">
        <v>2</v>
      </c>
      <c r="L1309" s="7" t="s">
        <v>52</v>
      </c>
      <c r="M1309" s="7">
        <f t="shared" si="100"/>
        <v>1</v>
      </c>
      <c r="N1309" s="9" t="s">
        <v>34</v>
      </c>
      <c r="O1309" s="7">
        <v>1</v>
      </c>
      <c r="P1309" s="9" t="s">
        <v>37</v>
      </c>
      <c r="Q1309" s="7" t="s">
        <v>38</v>
      </c>
      <c r="R1309" s="7" t="s">
        <v>38</v>
      </c>
      <c r="S1309" s="10" t="s">
        <v>1753</v>
      </c>
      <c r="T1309" s="7">
        <v>20</v>
      </c>
      <c r="U1309" s="7">
        <v>20</v>
      </c>
      <c r="V1309" s="7">
        <v>130</v>
      </c>
      <c r="W1309" s="7" t="s">
        <v>88</v>
      </c>
      <c r="X1309" s="7">
        <v>3</v>
      </c>
      <c r="Y1309" s="7"/>
      <c r="Z1309" s="7"/>
      <c r="AA1309" s="7"/>
      <c r="AB1309" s="7">
        <f>(U1309+X1309+Z1309)/3</f>
        <v>7.666666666666667</v>
      </c>
      <c r="AC1309" s="7">
        <f t="shared" si="101"/>
        <v>7.666666666666667</v>
      </c>
      <c r="AD1309" s="7"/>
      <c r="AE1309" s="7"/>
      <c r="AF1309" s="7"/>
      <c r="AG1309" s="7"/>
      <c r="AH1309" s="7"/>
      <c r="AI1309" s="7"/>
      <c r="AJ1309" s="7"/>
      <c r="AK1309" s="10" t="s">
        <v>2485</v>
      </c>
      <c r="AL1309" s="9"/>
      <c r="AM1309" s="7" t="s">
        <v>993</v>
      </c>
      <c r="AN1309" s="7" t="s">
        <v>2848</v>
      </c>
      <c r="AO1309" s="12"/>
    </row>
    <row r="1310" spans="1:41" s="11" customFormat="1" ht="24" x14ac:dyDescent="0.25">
      <c r="A1310" s="2">
        <v>1309</v>
      </c>
      <c r="B1310" s="7" t="s">
        <v>1111</v>
      </c>
      <c r="C1310" s="7" t="s">
        <v>78</v>
      </c>
      <c r="D1310" s="7">
        <v>18</v>
      </c>
      <c r="E1310" s="7">
        <v>18</v>
      </c>
      <c r="F1310" s="8">
        <v>1</v>
      </c>
      <c r="G1310" s="8">
        <v>1</v>
      </c>
      <c r="H1310" s="7">
        <v>1</v>
      </c>
      <c r="I1310" s="7">
        <v>1</v>
      </c>
      <c r="J1310" s="9" t="s">
        <v>35</v>
      </c>
      <c r="K1310" s="7">
        <v>1</v>
      </c>
      <c r="L1310" s="7" t="s">
        <v>52</v>
      </c>
      <c r="M1310" s="7">
        <f t="shared" si="100"/>
        <v>1</v>
      </c>
      <c r="N1310" s="9" t="s">
        <v>34</v>
      </c>
      <c r="O1310" s="7">
        <v>1</v>
      </c>
      <c r="P1310" s="9" t="s">
        <v>37</v>
      </c>
      <c r="Q1310" s="7" t="s">
        <v>38</v>
      </c>
      <c r="R1310" s="7" t="s">
        <v>38</v>
      </c>
      <c r="S1310" s="7">
        <v>14</v>
      </c>
      <c r="T1310" s="7">
        <v>14</v>
      </c>
      <c r="U1310" s="7">
        <v>14</v>
      </c>
      <c r="V1310" s="7">
        <v>140</v>
      </c>
      <c r="W1310" s="7" t="s">
        <v>239</v>
      </c>
      <c r="X1310" s="7"/>
      <c r="Y1310" s="7"/>
      <c r="Z1310" s="7"/>
      <c r="AA1310" s="7"/>
      <c r="AB1310" s="7">
        <f>(U1310+X1310+Z1310)/3</f>
        <v>4.666666666666667</v>
      </c>
      <c r="AC1310" s="7">
        <f t="shared" si="101"/>
        <v>4.666666666666667</v>
      </c>
      <c r="AD1310" s="7"/>
      <c r="AE1310" s="7"/>
      <c r="AF1310" s="7"/>
      <c r="AG1310" s="7"/>
      <c r="AH1310" s="7"/>
      <c r="AI1310" s="7"/>
      <c r="AJ1310" s="7"/>
      <c r="AK1310" s="10" t="s">
        <v>2486</v>
      </c>
      <c r="AL1310" s="9"/>
      <c r="AM1310" s="7" t="s">
        <v>137</v>
      </c>
      <c r="AN1310" s="7" t="s">
        <v>2848</v>
      </c>
      <c r="AO1310" s="12"/>
    </row>
    <row r="1311" spans="1:41" s="11" customFormat="1" x14ac:dyDescent="0.25">
      <c r="A1311" s="2">
        <v>1310</v>
      </c>
      <c r="B1311" s="7" t="s">
        <v>1111</v>
      </c>
      <c r="C1311" s="7" t="s">
        <v>119</v>
      </c>
      <c r="D1311" s="7">
        <v>14</v>
      </c>
      <c r="E1311" s="7">
        <v>14</v>
      </c>
      <c r="F1311" s="8">
        <v>1</v>
      </c>
      <c r="G1311" s="8">
        <v>1</v>
      </c>
      <c r="H1311" s="7">
        <v>1</v>
      </c>
      <c r="I1311" s="7">
        <v>1</v>
      </c>
      <c r="J1311" s="9" t="s">
        <v>35</v>
      </c>
      <c r="K1311" s="7">
        <v>2</v>
      </c>
      <c r="L1311" s="7" t="s">
        <v>52</v>
      </c>
      <c r="M1311" s="7">
        <f t="shared" si="100"/>
        <v>1</v>
      </c>
      <c r="N1311" s="9" t="s">
        <v>34</v>
      </c>
      <c r="O1311" s="7">
        <v>0</v>
      </c>
      <c r="P1311" s="9" t="s">
        <v>37</v>
      </c>
      <c r="Q1311" s="7"/>
      <c r="R1311" s="7" t="s">
        <v>38</v>
      </c>
      <c r="S1311" s="10" t="s">
        <v>2143</v>
      </c>
      <c r="T1311" s="7"/>
      <c r="U1311" s="7"/>
      <c r="V1311" s="7"/>
      <c r="W1311" s="7"/>
      <c r="X1311" s="7"/>
      <c r="Y1311" s="7"/>
      <c r="Z1311" s="7"/>
      <c r="AA1311" s="7"/>
      <c r="AB1311" s="7">
        <v>0.33333333333333298</v>
      </c>
      <c r="AC1311" s="7">
        <f t="shared" si="101"/>
        <v>0.33333333333333298</v>
      </c>
      <c r="AD1311" s="7">
        <v>1</v>
      </c>
      <c r="AE1311" s="7"/>
      <c r="AF1311" s="7" t="s">
        <v>40</v>
      </c>
      <c r="AG1311" s="7" t="s">
        <v>138</v>
      </c>
      <c r="AH1311" s="7"/>
      <c r="AI1311" s="7"/>
      <c r="AJ1311" s="7"/>
      <c r="AK1311" s="7"/>
      <c r="AL1311" s="9"/>
      <c r="AM1311" s="7" t="s">
        <v>71</v>
      </c>
      <c r="AN1311" s="7" t="s">
        <v>71</v>
      </c>
      <c r="AO1311" s="12"/>
    </row>
    <row r="1312" spans="1:41" s="11" customFormat="1" ht="24" x14ac:dyDescent="0.25">
      <c r="A1312" s="2">
        <v>1311</v>
      </c>
      <c r="B1312" s="7" t="s">
        <v>1111</v>
      </c>
      <c r="C1312" s="7" t="s">
        <v>78</v>
      </c>
      <c r="D1312" s="7">
        <v>6</v>
      </c>
      <c r="E1312" s="7">
        <v>6</v>
      </c>
      <c r="F1312" s="8">
        <v>1</v>
      </c>
      <c r="G1312" s="8">
        <v>1</v>
      </c>
      <c r="H1312" s="7">
        <v>1</v>
      </c>
      <c r="I1312" s="7">
        <v>1</v>
      </c>
      <c r="J1312" s="9" t="s">
        <v>176</v>
      </c>
      <c r="K1312" s="7">
        <v>3</v>
      </c>
      <c r="L1312" s="7" t="s">
        <v>52</v>
      </c>
      <c r="M1312" s="7">
        <f t="shared" si="100"/>
        <v>1</v>
      </c>
      <c r="N1312" s="9" t="s">
        <v>109</v>
      </c>
      <c r="O1312" s="7">
        <v>0</v>
      </c>
      <c r="P1312" s="9" t="s">
        <v>63</v>
      </c>
      <c r="Q1312" s="7" t="s">
        <v>38</v>
      </c>
      <c r="R1312" s="7" t="s">
        <v>52</v>
      </c>
      <c r="S1312" s="10" t="s">
        <v>2144</v>
      </c>
      <c r="T1312" s="7" t="s">
        <v>92</v>
      </c>
      <c r="U1312" s="7">
        <v>3</v>
      </c>
      <c r="V1312" s="7" t="s">
        <v>199</v>
      </c>
      <c r="W1312" s="7" t="s">
        <v>1116</v>
      </c>
      <c r="X1312" s="7"/>
      <c r="Y1312" s="7"/>
      <c r="Z1312" s="7"/>
      <c r="AA1312" s="7"/>
      <c r="AB1312" s="7">
        <f>(U1312+X1312+Z1312)/3</f>
        <v>1</v>
      </c>
      <c r="AC1312" s="7">
        <f t="shared" si="101"/>
        <v>1</v>
      </c>
      <c r="AD1312" s="7"/>
      <c r="AE1312" s="7"/>
      <c r="AF1312" s="7"/>
      <c r="AG1312" s="7"/>
      <c r="AH1312" s="7"/>
      <c r="AI1312" s="7"/>
      <c r="AJ1312" s="7"/>
      <c r="AK1312" s="7"/>
      <c r="AL1312" s="9"/>
      <c r="AM1312" s="7" t="s">
        <v>71</v>
      </c>
      <c r="AN1312" s="7" t="s">
        <v>71</v>
      </c>
      <c r="AO1312" s="15" t="s">
        <v>2649</v>
      </c>
    </row>
    <row r="1313" spans="1:41" s="11" customFormat="1" x14ac:dyDescent="0.25">
      <c r="A1313" s="2">
        <v>1312</v>
      </c>
      <c r="B1313" s="7" t="s">
        <v>1111</v>
      </c>
      <c r="C1313" s="7" t="s">
        <v>119</v>
      </c>
      <c r="D1313" s="7">
        <v>5</v>
      </c>
      <c r="E1313" s="7">
        <v>5</v>
      </c>
      <c r="F1313" s="8">
        <v>1</v>
      </c>
      <c r="G1313" s="8">
        <v>1</v>
      </c>
      <c r="H1313" s="7">
        <v>1</v>
      </c>
      <c r="I1313" s="7">
        <v>1</v>
      </c>
      <c r="J1313" s="9" t="s">
        <v>35</v>
      </c>
      <c r="K1313" s="7">
        <v>2</v>
      </c>
      <c r="L1313" s="7" t="s">
        <v>52</v>
      </c>
      <c r="M1313" s="7">
        <f t="shared" si="100"/>
        <v>1</v>
      </c>
      <c r="N1313" s="9" t="s">
        <v>34</v>
      </c>
      <c r="O1313" s="7">
        <v>0</v>
      </c>
      <c r="P1313" s="9" t="s">
        <v>63</v>
      </c>
      <c r="Q1313" s="7"/>
      <c r="R1313" s="7" t="s">
        <v>38</v>
      </c>
      <c r="S1313" s="10" t="s">
        <v>2145</v>
      </c>
      <c r="T1313" s="7"/>
      <c r="U1313" s="7"/>
      <c r="V1313" s="7"/>
      <c r="W1313" s="7"/>
      <c r="X1313" s="7"/>
      <c r="Y1313" s="7"/>
      <c r="Z1313" s="7"/>
      <c r="AA1313" s="7"/>
      <c r="AB1313" s="7">
        <v>0.33333333333333298</v>
      </c>
      <c r="AC1313" s="7">
        <f t="shared" si="101"/>
        <v>0.33333333333333298</v>
      </c>
      <c r="AD1313" s="7">
        <v>1</v>
      </c>
      <c r="AE1313" s="7"/>
      <c r="AF1313" s="7" t="s">
        <v>40</v>
      </c>
      <c r="AG1313" s="7" t="s">
        <v>738</v>
      </c>
      <c r="AH1313" s="7"/>
      <c r="AI1313" s="7"/>
      <c r="AJ1313" s="7"/>
      <c r="AK1313" s="7"/>
      <c r="AL1313" s="9"/>
      <c r="AM1313" s="7" t="s">
        <v>71</v>
      </c>
      <c r="AN1313" s="7" t="s">
        <v>71</v>
      </c>
      <c r="AO1313" s="15" t="s">
        <v>2651</v>
      </c>
    </row>
    <row r="1314" spans="1:41" s="11" customFormat="1" ht="48" x14ac:dyDescent="0.25">
      <c r="A1314" s="2">
        <v>1313</v>
      </c>
      <c r="B1314" s="7" t="s">
        <v>1111</v>
      </c>
      <c r="C1314" s="7" t="s">
        <v>421</v>
      </c>
      <c r="D1314" s="7" t="s">
        <v>1117</v>
      </c>
      <c r="E1314" s="7">
        <v>200</v>
      </c>
      <c r="F1314" s="8">
        <v>1</v>
      </c>
      <c r="G1314" s="8">
        <v>11</v>
      </c>
      <c r="H1314" s="7">
        <v>11</v>
      </c>
      <c r="I1314" s="7">
        <v>11</v>
      </c>
      <c r="J1314" s="9" t="s">
        <v>77</v>
      </c>
      <c r="K1314" s="7">
        <v>1</v>
      </c>
      <c r="L1314" s="7" t="s">
        <v>52</v>
      </c>
      <c r="M1314" s="7">
        <f t="shared" si="100"/>
        <v>1</v>
      </c>
      <c r="N1314" s="9" t="s">
        <v>36</v>
      </c>
      <c r="O1314" s="7">
        <v>0</v>
      </c>
      <c r="P1314" s="9" t="s">
        <v>63</v>
      </c>
      <c r="Q1314" s="7" t="s">
        <v>38</v>
      </c>
      <c r="R1314" s="7" t="s">
        <v>38</v>
      </c>
      <c r="S1314" s="10" t="s">
        <v>2146</v>
      </c>
      <c r="T1314" s="7">
        <v>50</v>
      </c>
      <c r="U1314" s="7">
        <v>50</v>
      </c>
      <c r="V1314" s="7">
        <v>81</v>
      </c>
      <c r="W1314" s="7" t="s">
        <v>88</v>
      </c>
      <c r="X1314" s="7">
        <v>65</v>
      </c>
      <c r="Y1314" s="7">
        <v>100</v>
      </c>
      <c r="Z1314" s="7">
        <v>100</v>
      </c>
      <c r="AA1314" s="7">
        <v>69</v>
      </c>
      <c r="AB1314" s="7">
        <f t="shared" ref="AB1314:AB1332" si="103">(U1314+X1314+Z1314)/3</f>
        <v>71.666666666666671</v>
      </c>
      <c r="AC1314" s="7">
        <f t="shared" si="101"/>
        <v>71.666666666666671</v>
      </c>
      <c r="AD1314" s="7"/>
      <c r="AE1314" s="7">
        <v>1</v>
      </c>
      <c r="AF1314" s="7" t="s">
        <v>40</v>
      </c>
      <c r="AG1314" s="7" t="s">
        <v>1118</v>
      </c>
      <c r="AH1314" s="7"/>
      <c r="AI1314" s="7"/>
      <c r="AJ1314" s="10" t="s">
        <v>2402</v>
      </c>
      <c r="AK1314" s="10" t="s">
        <v>2487</v>
      </c>
      <c r="AL1314" s="9" t="s">
        <v>38</v>
      </c>
      <c r="AM1314" s="7" t="s">
        <v>42</v>
      </c>
      <c r="AN1314" s="7" t="s">
        <v>42</v>
      </c>
      <c r="AO1314" s="15" t="s">
        <v>491</v>
      </c>
    </row>
    <row r="1315" spans="1:41" s="11" customFormat="1" x14ac:dyDescent="0.25">
      <c r="A1315" s="2">
        <v>1314</v>
      </c>
      <c r="B1315" s="7" t="s">
        <v>1111</v>
      </c>
      <c r="C1315" s="7" t="s">
        <v>89</v>
      </c>
      <c r="D1315" s="7" t="s">
        <v>1119</v>
      </c>
      <c r="E1315" s="7">
        <f>32+29+24+21</f>
        <v>106</v>
      </c>
      <c r="F1315" s="8">
        <v>1</v>
      </c>
      <c r="G1315" s="9" t="s">
        <v>706</v>
      </c>
      <c r="H1315" s="7">
        <v>4</v>
      </c>
      <c r="I1315" s="7">
        <v>4</v>
      </c>
      <c r="J1315" s="9" t="s">
        <v>35</v>
      </c>
      <c r="K1315" s="7">
        <v>2</v>
      </c>
      <c r="L1315" s="7" t="s">
        <v>52</v>
      </c>
      <c r="M1315" s="7">
        <f t="shared" si="100"/>
        <v>1</v>
      </c>
      <c r="N1315" s="9" t="s">
        <v>34</v>
      </c>
      <c r="O1315" s="7">
        <v>0</v>
      </c>
      <c r="P1315" s="9" t="s">
        <v>37</v>
      </c>
      <c r="Q1315" s="7" t="s">
        <v>38</v>
      </c>
      <c r="R1315" s="7" t="s">
        <v>38</v>
      </c>
      <c r="S1315" s="10" t="s">
        <v>2147</v>
      </c>
      <c r="T1315" s="7"/>
      <c r="U1315" s="7"/>
      <c r="V1315" s="7"/>
      <c r="W1315" s="7"/>
      <c r="X1315" s="7">
        <v>10</v>
      </c>
      <c r="Y1315" s="7"/>
      <c r="Z1315" s="7"/>
      <c r="AA1315" s="7"/>
      <c r="AB1315" s="7">
        <f t="shared" si="103"/>
        <v>3.3333333333333335</v>
      </c>
      <c r="AC1315" s="7">
        <f t="shared" si="101"/>
        <v>3.3333333333333335</v>
      </c>
      <c r="AD1315" s="7"/>
      <c r="AE1315" s="7"/>
      <c r="AF1315" s="7"/>
      <c r="AG1315" s="7"/>
      <c r="AH1315" s="7"/>
      <c r="AI1315" s="7"/>
      <c r="AJ1315" s="7"/>
      <c r="AK1315" s="7"/>
      <c r="AL1315" s="9"/>
      <c r="AM1315" s="7" t="s">
        <v>71</v>
      </c>
      <c r="AN1315" s="7" t="s">
        <v>71</v>
      </c>
      <c r="AO1315" s="12"/>
    </row>
    <row r="1316" spans="1:41" s="11" customFormat="1" x14ac:dyDescent="0.25">
      <c r="A1316" s="2">
        <v>1315</v>
      </c>
      <c r="B1316" s="7" t="s">
        <v>1111</v>
      </c>
      <c r="C1316" s="7" t="s">
        <v>78</v>
      </c>
      <c r="D1316" s="7">
        <v>27</v>
      </c>
      <c r="E1316" s="7">
        <v>27</v>
      </c>
      <c r="F1316" s="8">
        <v>1</v>
      </c>
      <c r="G1316" s="8">
        <v>1</v>
      </c>
      <c r="H1316" s="7">
        <v>1</v>
      </c>
      <c r="I1316" s="7">
        <v>1</v>
      </c>
      <c r="J1316" s="9" t="s">
        <v>176</v>
      </c>
      <c r="K1316" s="7">
        <v>3</v>
      </c>
      <c r="L1316" s="7" t="s">
        <v>52</v>
      </c>
      <c r="M1316" s="7">
        <f t="shared" si="100"/>
        <v>1</v>
      </c>
      <c r="N1316" s="9" t="s">
        <v>109</v>
      </c>
      <c r="O1316" s="7">
        <v>0</v>
      </c>
      <c r="P1316" s="9" t="s">
        <v>63</v>
      </c>
      <c r="Q1316" s="7" t="s">
        <v>38</v>
      </c>
      <c r="R1316" s="7" t="s">
        <v>52</v>
      </c>
      <c r="S1316" s="10" t="s">
        <v>2148</v>
      </c>
      <c r="T1316" s="7">
        <v>5</v>
      </c>
      <c r="U1316" s="7">
        <v>5</v>
      </c>
      <c r="V1316" s="7">
        <v>370</v>
      </c>
      <c r="W1316" s="7" t="s">
        <v>214</v>
      </c>
      <c r="X1316" s="7"/>
      <c r="Y1316" s="7"/>
      <c r="Z1316" s="7"/>
      <c r="AA1316" s="7"/>
      <c r="AB1316" s="7">
        <f t="shared" si="103"/>
        <v>1.6666666666666667</v>
      </c>
      <c r="AC1316" s="7">
        <f t="shared" si="101"/>
        <v>1.6666666666666667</v>
      </c>
      <c r="AD1316" s="7"/>
      <c r="AE1316" s="7"/>
      <c r="AF1316" s="7"/>
      <c r="AG1316" s="7"/>
      <c r="AH1316" s="7"/>
      <c r="AI1316" s="7"/>
      <c r="AJ1316" s="7"/>
      <c r="AK1316" s="7"/>
      <c r="AL1316" s="9"/>
      <c r="AM1316" s="7" t="s">
        <v>215</v>
      </c>
      <c r="AN1316" s="7" t="s">
        <v>2850</v>
      </c>
      <c r="AO1316" s="15" t="s">
        <v>2689</v>
      </c>
    </row>
    <row r="1317" spans="1:41" s="11" customFormat="1" x14ac:dyDescent="0.25">
      <c r="A1317" s="2">
        <v>1316</v>
      </c>
      <c r="B1317" s="7" t="s">
        <v>1111</v>
      </c>
      <c r="C1317" s="7" t="s">
        <v>50</v>
      </c>
      <c r="D1317" s="7">
        <v>80</v>
      </c>
      <c r="E1317" s="7">
        <v>80</v>
      </c>
      <c r="F1317" s="8">
        <v>1</v>
      </c>
      <c r="G1317" s="8">
        <v>1</v>
      </c>
      <c r="H1317" s="7">
        <v>1</v>
      </c>
      <c r="I1317" s="7">
        <v>1</v>
      </c>
      <c r="J1317" s="9" t="s">
        <v>219</v>
      </c>
      <c r="K1317" s="7">
        <v>1</v>
      </c>
      <c r="L1317" s="7" t="s">
        <v>52</v>
      </c>
      <c r="M1317" s="7">
        <f t="shared" si="100"/>
        <v>1</v>
      </c>
      <c r="N1317" s="9" t="s">
        <v>82</v>
      </c>
      <c r="O1317" s="7">
        <v>0</v>
      </c>
      <c r="P1317" s="9" t="s">
        <v>36</v>
      </c>
      <c r="Q1317" s="7" t="s">
        <v>38</v>
      </c>
      <c r="R1317" s="7" t="s">
        <v>38</v>
      </c>
      <c r="S1317" s="10" t="s">
        <v>2149</v>
      </c>
      <c r="T1317" s="7"/>
      <c r="U1317" s="7"/>
      <c r="V1317" s="7"/>
      <c r="W1317" s="7"/>
      <c r="X1317" s="7"/>
      <c r="Y1317" s="7">
        <v>14</v>
      </c>
      <c r="Z1317" s="7">
        <v>14</v>
      </c>
      <c r="AA1317" s="7">
        <v>120</v>
      </c>
      <c r="AB1317" s="7">
        <f t="shared" si="103"/>
        <v>4.666666666666667</v>
      </c>
      <c r="AC1317" s="7">
        <f t="shared" si="101"/>
        <v>4.666666666666667</v>
      </c>
      <c r="AD1317" s="7"/>
      <c r="AE1317" s="7"/>
      <c r="AF1317" s="7"/>
      <c r="AG1317" s="7"/>
      <c r="AH1317" s="7"/>
      <c r="AI1317" s="7"/>
      <c r="AJ1317" s="7"/>
      <c r="AK1317" s="7"/>
      <c r="AL1317" s="9"/>
      <c r="AM1317" s="7" t="s">
        <v>71</v>
      </c>
      <c r="AN1317" s="7" t="s">
        <v>71</v>
      </c>
      <c r="AO1317" s="12"/>
    </row>
    <row r="1318" spans="1:41" s="11" customFormat="1" x14ac:dyDescent="0.25">
      <c r="A1318" s="2">
        <v>1317</v>
      </c>
      <c r="B1318" s="7" t="s">
        <v>1111</v>
      </c>
      <c r="C1318" s="7" t="s">
        <v>32</v>
      </c>
      <c r="D1318" s="7" t="s">
        <v>1120</v>
      </c>
      <c r="E1318" s="7">
        <f>53+22+9</f>
        <v>84</v>
      </c>
      <c r="F1318" s="8">
        <v>1</v>
      </c>
      <c r="G1318" s="8">
        <v>6</v>
      </c>
      <c r="H1318" s="7">
        <v>6</v>
      </c>
      <c r="I1318" s="7">
        <v>6</v>
      </c>
      <c r="J1318" s="9" t="s">
        <v>35</v>
      </c>
      <c r="K1318" s="7">
        <v>1</v>
      </c>
      <c r="L1318" s="7" t="s">
        <v>52</v>
      </c>
      <c r="M1318" s="7">
        <f t="shared" si="100"/>
        <v>1</v>
      </c>
      <c r="N1318" s="9" t="s">
        <v>36</v>
      </c>
      <c r="O1318" s="7">
        <v>0</v>
      </c>
      <c r="P1318" s="9" t="s">
        <v>33</v>
      </c>
      <c r="Q1318" s="7" t="s">
        <v>38</v>
      </c>
      <c r="R1318" s="7" t="s">
        <v>38</v>
      </c>
      <c r="S1318" s="10" t="s">
        <v>2150</v>
      </c>
      <c r="T1318" s="7"/>
      <c r="U1318" s="7"/>
      <c r="V1318" s="7"/>
      <c r="W1318" s="7"/>
      <c r="X1318" s="7">
        <v>40</v>
      </c>
      <c r="Y1318" s="7">
        <v>90</v>
      </c>
      <c r="Z1318" s="7">
        <v>90</v>
      </c>
      <c r="AA1318" s="7">
        <v>47</v>
      </c>
      <c r="AB1318" s="7">
        <f t="shared" si="103"/>
        <v>43.333333333333336</v>
      </c>
      <c r="AC1318" s="7">
        <f t="shared" si="101"/>
        <v>43.333333333333336</v>
      </c>
      <c r="AD1318" s="7"/>
      <c r="AE1318" s="7">
        <v>1</v>
      </c>
      <c r="AF1318" s="7"/>
      <c r="AG1318" s="7" t="s">
        <v>1121</v>
      </c>
      <c r="AH1318" s="7" t="s">
        <v>38</v>
      </c>
      <c r="AI1318" s="7"/>
      <c r="AJ1318" s="7"/>
      <c r="AK1318" s="7"/>
      <c r="AL1318" s="9"/>
      <c r="AM1318" s="7" t="s">
        <v>42</v>
      </c>
      <c r="AN1318" s="7" t="s">
        <v>42</v>
      </c>
      <c r="AO1318" s="12"/>
    </row>
    <row r="1319" spans="1:41" s="11" customFormat="1" x14ac:dyDescent="0.25">
      <c r="A1319" s="2">
        <v>1318</v>
      </c>
      <c r="B1319" s="7" t="s">
        <v>1111</v>
      </c>
      <c r="C1319" s="7" t="s">
        <v>237</v>
      </c>
      <c r="D1319" s="7" t="s">
        <v>1122</v>
      </c>
      <c r="E1319" s="7">
        <f>126+67</f>
        <v>193</v>
      </c>
      <c r="F1319" s="8">
        <v>1</v>
      </c>
      <c r="G1319" s="8">
        <v>2</v>
      </c>
      <c r="H1319" s="7">
        <v>2</v>
      </c>
      <c r="I1319" s="7">
        <v>2</v>
      </c>
      <c r="J1319" s="9" t="s">
        <v>176</v>
      </c>
      <c r="K1319" s="7">
        <v>3</v>
      </c>
      <c r="L1319" s="7" t="s">
        <v>52</v>
      </c>
      <c r="M1319" s="7">
        <f t="shared" si="100"/>
        <v>1</v>
      </c>
      <c r="N1319" s="9" t="s">
        <v>109</v>
      </c>
      <c r="O1319" s="7">
        <v>0</v>
      </c>
      <c r="P1319" s="9" t="s">
        <v>63</v>
      </c>
      <c r="Q1319" s="7" t="s">
        <v>38</v>
      </c>
      <c r="R1319" s="7" t="s">
        <v>52</v>
      </c>
      <c r="S1319" s="10" t="s">
        <v>2151</v>
      </c>
      <c r="T1319" s="7">
        <v>3</v>
      </c>
      <c r="U1319" s="7">
        <v>3</v>
      </c>
      <c r="V1319" s="7" t="s">
        <v>199</v>
      </c>
      <c r="W1319" s="7" t="s">
        <v>214</v>
      </c>
      <c r="X1319" s="7">
        <v>5</v>
      </c>
      <c r="Y1319" s="7"/>
      <c r="Z1319" s="7"/>
      <c r="AA1319" s="7"/>
      <c r="AB1319" s="7">
        <f t="shared" si="103"/>
        <v>2.6666666666666665</v>
      </c>
      <c r="AC1319" s="7">
        <f t="shared" si="101"/>
        <v>2.6666666666666665</v>
      </c>
      <c r="AD1319" s="7"/>
      <c r="AE1319" s="7"/>
      <c r="AF1319" s="7"/>
      <c r="AG1319" s="7"/>
      <c r="AH1319" s="7"/>
      <c r="AI1319" s="7"/>
      <c r="AJ1319" s="10" t="s">
        <v>2401</v>
      </c>
      <c r="AK1319" s="7"/>
      <c r="AL1319" s="9"/>
      <c r="AM1319" s="7" t="s">
        <v>215</v>
      </c>
      <c r="AN1319" s="7" t="s">
        <v>2852</v>
      </c>
      <c r="AO1319" s="12"/>
    </row>
    <row r="1320" spans="1:41" s="11" customFormat="1" x14ac:dyDescent="0.25">
      <c r="A1320" s="2">
        <v>1319</v>
      </c>
      <c r="B1320" s="7" t="s">
        <v>1111</v>
      </c>
      <c r="C1320" s="7" t="s">
        <v>78</v>
      </c>
      <c r="D1320" s="7">
        <v>135</v>
      </c>
      <c r="E1320" s="7">
        <v>135</v>
      </c>
      <c r="F1320" s="8">
        <v>1</v>
      </c>
      <c r="G1320" s="8">
        <v>1</v>
      </c>
      <c r="H1320" s="7">
        <v>1</v>
      </c>
      <c r="I1320" s="7">
        <v>1</v>
      </c>
      <c r="J1320" s="9" t="s">
        <v>176</v>
      </c>
      <c r="K1320" s="7">
        <v>3</v>
      </c>
      <c r="L1320" s="7" t="s">
        <v>52</v>
      </c>
      <c r="M1320" s="7">
        <f t="shared" si="100"/>
        <v>1</v>
      </c>
      <c r="N1320" s="9" t="s">
        <v>109</v>
      </c>
      <c r="O1320" s="7">
        <v>0</v>
      </c>
      <c r="P1320" s="9" t="s">
        <v>63</v>
      </c>
      <c r="Q1320" s="7" t="s">
        <v>38</v>
      </c>
      <c r="R1320" s="7" t="s">
        <v>52</v>
      </c>
      <c r="S1320" s="10" t="s">
        <v>2152</v>
      </c>
      <c r="T1320" s="7">
        <v>12</v>
      </c>
      <c r="U1320" s="7">
        <v>12</v>
      </c>
      <c r="V1320" s="7">
        <v>360</v>
      </c>
      <c r="W1320" s="7" t="s">
        <v>214</v>
      </c>
      <c r="X1320" s="7">
        <v>5</v>
      </c>
      <c r="Y1320" s="7"/>
      <c r="Z1320" s="7"/>
      <c r="AA1320" s="7"/>
      <c r="AB1320" s="7">
        <f t="shared" si="103"/>
        <v>5.666666666666667</v>
      </c>
      <c r="AC1320" s="7">
        <f t="shared" si="101"/>
        <v>5.666666666666667</v>
      </c>
      <c r="AD1320" s="7"/>
      <c r="AE1320" s="7"/>
      <c r="AF1320" s="7"/>
      <c r="AG1320" s="7"/>
      <c r="AH1320" s="7"/>
      <c r="AI1320" s="7"/>
      <c r="AJ1320" s="7"/>
      <c r="AK1320" s="7"/>
      <c r="AL1320" s="9"/>
      <c r="AM1320" s="7" t="s">
        <v>215</v>
      </c>
      <c r="AN1320" s="7" t="s">
        <v>2850</v>
      </c>
      <c r="AO1320" s="12"/>
    </row>
    <row r="1321" spans="1:41" s="11" customFormat="1" x14ac:dyDescent="0.25">
      <c r="A1321" s="2">
        <v>1320</v>
      </c>
      <c r="B1321" s="7" t="s">
        <v>1111</v>
      </c>
      <c r="C1321" s="7" t="s">
        <v>104</v>
      </c>
      <c r="D1321" s="7">
        <v>8</v>
      </c>
      <c r="E1321" s="7">
        <v>8</v>
      </c>
      <c r="F1321" s="8">
        <v>1</v>
      </c>
      <c r="G1321" s="8">
        <v>1</v>
      </c>
      <c r="H1321" s="7">
        <v>1</v>
      </c>
      <c r="I1321" s="7">
        <v>1</v>
      </c>
      <c r="J1321" s="9" t="s">
        <v>35</v>
      </c>
      <c r="K1321" s="7">
        <v>1</v>
      </c>
      <c r="L1321" s="7" t="s">
        <v>52</v>
      </c>
      <c r="M1321" s="7">
        <f t="shared" si="100"/>
        <v>1</v>
      </c>
      <c r="N1321" s="9" t="s">
        <v>36</v>
      </c>
      <c r="O1321" s="7">
        <v>0</v>
      </c>
      <c r="P1321" s="9" t="s">
        <v>63</v>
      </c>
      <c r="Q1321" s="7" t="s">
        <v>38</v>
      </c>
      <c r="R1321" s="7" t="s">
        <v>38</v>
      </c>
      <c r="S1321" s="10" t="s">
        <v>2153</v>
      </c>
      <c r="T1321" s="7"/>
      <c r="U1321" s="7"/>
      <c r="V1321" s="7"/>
      <c r="W1321" s="7"/>
      <c r="X1321" s="7">
        <v>3</v>
      </c>
      <c r="Y1321" s="7"/>
      <c r="Z1321" s="7"/>
      <c r="AA1321" s="7"/>
      <c r="AB1321" s="7">
        <f t="shared" si="103"/>
        <v>1</v>
      </c>
      <c r="AC1321" s="7">
        <f t="shared" si="101"/>
        <v>1</v>
      </c>
      <c r="AD1321" s="7"/>
      <c r="AE1321" s="7">
        <v>1</v>
      </c>
      <c r="AF1321" s="7" t="s">
        <v>40</v>
      </c>
      <c r="AG1321" s="7" t="s">
        <v>120</v>
      </c>
      <c r="AH1321" s="7"/>
      <c r="AI1321" s="7"/>
      <c r="AJ1321" s="7"/>
      <c r="AK1321" s="7"/>
      <c r="AL1321" s="9"/>
      <c r="AM1321" s="7" t="s">
        <v>71</v>
      </c>
      <c r="AN1321" s="7" t="s">
        <v>71</v>
      </c>
      <c r="AO1321" s="12"/>
    </row>
    <row r="1322" spans="1:41" s="11" customFormat="1" ht="24" x14ac:dyDescent="0.25">
      <c r="A1322" s="2">
        <v>1321</v>
      </c>
      <c r="B1322" s="7" t="s">
        <v>1111</v>
      </c>
      <c r="C1322" s="7" t="s">
        <v>78</v>
      </c>
      <c r="D1322" s="7">
        <v>24</v>
      </c>
      <c r="E1322" s="7">
        <v>24</v>
      </c>
      <c r="F1322" s="8">
        <v>1</v>
      </c>
      <c r="G1322" s="8">
        <v>1</v>
      </c>
      <c r="H1322" s="7">
        <v>1</v>
      </c>
      <c r="I1322" s="7">
        <v>1</v>
      </c>
      <c r="J1322" s="9" t="s">
        <v>35</v>
      </c>
      <c r="K1322" s="7">
        <v>1</v>
      </c>
      <c r="L1322" s="7" t="s">
        <v>52</v>
      </c>
      <c r="M1322" s="7">
        <f t="shared" si="100"/>
        <v>1</v>
      </c>
      <c r="N1322" s="9" t="s">
        <v>34</v>
      </c>
      <c r="O1322" s="7">
        <v>0</v>
      </c>
      <c r="P1322" s="9" t="s">
        <v>33</v>
      </c>
      <c r="Q1322" s="7" t="s">
        <v>38</v>
      </c>
      <c r="R1322" s="7" t="s">
        <v>38</v>
      </c>
      <c r="S1322" s="10" t="s">
        <v>1524</v>
      </c>
      <c r="T1322" s="7">
        <v>5</v>
      </c>
      <c r="U1322" s="7">
        <v>5</v>
      </c>
      <c r="V1322" s="7">
        <v>190</v>
      </c>
      <c r="W1322" s="7" t="s">
        <v>83</v>
      </c>
      <c r="X1322" s="7"/>
      <c r="Y1322" s="7"/>
      <c r="Z1322" s="7"/>
      <c r="AA1322" s="7"/>
      <c r="AB1322" s="7">
        <f t="shared" si="103"/>
        <v>1.6666666666666667</v>
      </c>
      <c r="AC1322" s="7">
        <f t="shared" si="101"/>
        <v>1.6666666666666667</v>
      </c>
      <c r="AD1322" s="7"/>
      <c r="AE1322" s="7">
        <v>1</v>
      </c>
      <c r="AF1322" s="7" t="s">
        <v>40</v>
      </c>
      <c r="AG1322" s="7" t="s">
        <v>1123</v>
      </c>
      <c r="AH1322" s="7"/>
      <c r="AI1322" s="7"/>
      <c r="AJ1322" s="7"/>
      <c r="AK1322" s="7"/>
      <c r="AL1322" s="9"/>
      <c r="AM1322" s="7" t="s">
        <v>650</v>
      </c>
      <c r="AN1322" s="7" t="s">
        <v>2848</v>
      </c>
      <c r="AO1322" s="12"/>
    </row>
    <row r="1323" spans="1:41" s="11" customFormat="1" ht="24" x14ac:dyDescent="0.25">
      <c r="A1323" s="2">
        <v>1322</v>
      </c>
      <c r="B1323" s="7" t="s">
        <v>1079</v>
      </c>
      <c r="C1323" s="7" t="s">
        <v>222</v>
      </c>
      <c r="D1323" s="7" t="s">
        <v>1124</v>
      </c>
      <c r="E1323" s="7">
        <v>27</v>
      </c>
      <c r="F1323" s="8">
        <v>1</v>
      </c>
      <c r="G1323" s="8">
        <v>2</v>
      </c>
      <c r="H1323" s="7" t="s">
        <v>87</v>
      </c>
      <c r="I1323" s="7">
        <v>2</v>
      </c>
      <c r="J1323" s="9" t="s">
        <v>219</v>
      </c>
      <c r="K1323" s="7">
        <v>1</v>
      </c>
      <c r="L1323" s="7" t="s">
        <v>52</v>
      </c>
      <c r="M1323" s="7">
        <f t="shared" si="100"/>
        <v>1</v>
      </c>
      <c r="N1323" s="9" t="s">
        <v>34</v>
      </c>
      <c r="O1323" s="7">
        <v>0</v>
      </c>
      <c r="P1323" s="9" t="s">
        <v>63</v>
      </c>
      <c r="Q1323" s="7" t="s">
        <v>38</v>
      </c>
      <c r="R1323" s="7" t="s">
        <v>38</v>
      </c>
      <c r="S1323" s="10" t="s">
        <v>1927</v>
      </c>
      <c r="T1323" s="7"/>
      <c r="U1323" s="7"/>
      <c r="V1323" s="7"/>
      <c r="W1323" s="7"/>
      <c r="X1323" s="7">
        <v>3</v>
      </c>
      <c r="Y1323" s="7"/>
      <c r="Z1323" s="7"/>
      <c r="AA1323" s="7"/>
      <c r="AB1323" s="7">
        <f t="shared" si="103"/>
        <v>1</v>
      </c>
      <c r="AC1323" s="7">
        <f t="shared" si="101"/>
        <v>1</v>
      </c>
      <c r="AD1323" s="7"/>
      <c r="AE1323" s="7">
        <v>1</v>
      </c>
      <c r="AF1323" s="7" t="s">
        <v>40</v>
      </c>
      <c r="AG1323" s="7" t="s">
        <v>490</v>
      </c>
      <c r="AH1323" s="7"/>
      <c r="AI1323" s="7"/>
      <c r="AJ1323" s="7"/>
      <c r="AK1323" s="7"/>
      <c r="AL1323" s="9"/>
      <c r="AM1323" s="7" t="s">
        <v>71</v>
      </c>
      <c r="AN1323" s="7" t="s">
        <v>71</v>
      </c>
      <c r="AO1323" s="12"/>
    </row>
    <row r="1324" spans="1:41" s="11" customFormat="1" ht="24" x14ac:dyDescent="0.25">
      <c r="A1324" s="2">
        <v>1323</v>
      </c>
      <c r="B1324" s="7" t="s">
        <v>1079</v>
      </c>
      <c r="C1324" s="7" t="s">
        <v>104</v>
      </c>
      <c r="D1324" s="7">
        <v>2</v>
      </c>
      <c r="E1324" s="7">
        <v>2</v>
      </c>
      <c r="F1324" s="8">
        <v>1</v>
      </c>
      <c r="G1324" s="8">
        <v>1</v>
      </c>
      <c r="H1324" s="7">
        <v>1</v>
      </c>
      <c r="I1324" s="7">
        <v>1</v>
      </c>
      <c r="J1324" s="9" t="s">
        <v>35</v>
      </c>
      <c r="K1324" s="7">
        <v>1</v>
      </c>
      <c r="L1324" s="7" t="s">
        <v>52</v>
      </c>
      <c r="M1324" s="7">
        <f t="shared" si="100"/>
        <v>1</v>
      </c>
      <c r="N1324" s="9" t="s">
        <v>36</v>
      </c>
      <c r="O1324" s="7">
        <v>0</v>
      </c>
      <c r="P1324" s="9" t="s">
        <v>63</v>
      </c>
      <c r="Q1324" s="7" t="s">
        <v>38</v>
      </c>
      <c r="R1324" s="7" t="s">
        <v>38</v>
      </c>
      <c r="S1324" s="10" t="s">
        <v>2154</v>
      </c>
      <c r="T1324" s="7"/>
      <c r="U1324" s="7"/>
      <c r="V1324" s="7"/>
      <c r="W1324" s="7"/>
      <c r="X1324" s="7">
        <v>3</v>
      </c>
      <c r="Y1324" s="7"/>
      <c r="Z1324" s="7"/>
      <c r="AA1324" s="7"/>
      <c r="AB1324" s="7">
        <f t="shared" si="103"/>
        <v>1</v>
      </c>
      <c r="AC1324" s="7">
        <f t="shared" si="101"/>
        <v>1</v>
      </c>
      <c r="AD1324" s="7"/>
      <c r="AE1324" s="7">
        <v>1</v>
      </c>
      <c r="AF1324" s="7" t="s">
        <v>40</v>
      </c>
      <c r="AG1324" s="7" t="s">
        <v>490</v>
      </c>
      <c r="AH1324" s="7"/>
      <c r="AI1324" s="7"/>
      <c r="AJ1324" s="7"/>
      <c r="AK1324" s="7"/>
      <c r="AL1324" s="9"/>
      <c r="AM1324" s="7" t="s">
        <v>71</v>
      </c>
      <c r="AN1324" s="7" t="s">
        <v>71</v>
      </c>
      <c r="AO1324" s="15" t="s">
        <v>2690</v>
      </c>
    </row>
    <row r="1325" spans="1:41" s="11" customFormat="1" ht="24" x14ac:dyDescent="0.25">
      <c r="A1325" s="2">
        <v>1324</v>
      </c>
      <c r="B1325" s="7" t="s">
        <v>1079</v>
      </c>
      <c r="C1325" s="7" t="s">
        <v>237</v>
      </c>
      <c r="D1325" s="7" t="s">
        <v>1125</v>
      </c>
      <c r="E1325" s="7">
        <f>162+72+68+28+24</f>
        <v>354</v>
      </c>
      <c r="F1325" s="7">
        <v>1</v>
      </c>
      <c r="G1325" s="9" t="s">
        <v>1126</v>
      </c>
      <c r="H1325" s="7" t="s">
        <v>1127</v>
      </c>
      <c r="I1325" s="7">
        <v>12</v>
      </c>
      <c r="J1325" s="9" t="s">
        <v>176</v>
      </c>
      <c r="K1325" s="7">
        <v>1</v>
      </c>
      <c r="L1325" s="7" t="s">
        <v>52</v>
      </c>
      <c r="M1325" s="7">
        <f t="shared" si="100"/>
        <v>1</v>
      </c>
      <c r="N1325" s="9" t="s">
        <v>177</v>
      </c>
      <c r="O1325" s="7">
        <v>0</v>
      </c>
      <c r="P1325" s="9" t="s">
        <v>63</v>
      </c>
      <c r="Q1325" s="7" t="s">
        <v>38</v>
      </c>
      <c r="R1325" s="7" t="s">
        <v>38</v>
      </c>
      <c r="S1325" s="10" t="s">
        <v>2155</v>
      </c>
      <c r="T1325" s="7" t="s">
        <v>1128</v>
      </c>
      <c r="U1325" s="7">
        <v>70</v>
      </c>
      <c r="V1325" s="7">
        <v>170</v>
      </c>
      <c r="W1325" s="7" t="s">
        <v>239</v>
      </c>
      <c r="X1325" s="7">
        <v>15</v>
      </c>
      <c r="Y1325" s="7"/>
      <c r="Z1325" s="7"/>
      <c r="AA1325" s="7"/>
      <c r="AB1325" s="7">
        <f t="shared" si="103"/>
        <v>28.333333333333332</v>
      </c>
      <c r="AC1325" s="7">
        <f t="shared" si="101"/>
        <v>28.333333333333332</v>
      </c>
      <c r="AD1325" s="7">
        <v>1</v>
      </c>
      <c r="AE1325" s="7"/>
      <c r="AF1325" s="7" t="s">
        <v>40</v>
      </c>
      <c r="AG1325" s="7" t="s">
        <v>738</v>
      </c>
      <c r="AH1325" s="7"/>
      <c r="AI1325" s="7"/>
      <c r="AJ1325" s="7"/>
      <c r="AK1325" s="10" t="s">
        <v>2488</v>
      </c>
      <c r="AL1325" s="9"/>
      <c r="AM1325" s="7" t="s">
        <v>650</v>
      </c>
      <c r="AN1325" s="7" t="s">
        <v>2848</v>
      </c>
      <c r="AO1325" s="15" t="s">
        <v>2691</v>
      </c>
    </row>
    <row r="1326" spans="1:41" s="11" customFormat="1" x14ac:dyDescent="0.25">
      <c r="A1326" s="2">
        <v>1325</v>
      </c>
      <c r="B1326" s="7" t="s">
        <v>1079</v>
      </c>
      <c r="C1326" s="7" t="s">
        <v>100</v>
      </c>
      <c r="D1326" s="7">
        <v>55</v>
      </c>
      <c r="E1326" s="7">
        <v>55</v>
      </c>
      <c r="F1326" s="8">
        <v>1</v>
      </c>
      <c r="G1326" s="8">
        <v>1</v>
      </c>
      <c r="H1326" s="7">
        <v>1</v>
      </c>
      <c r="I1326" s="7">
        <v>1</v>
      </c>
      <c r="J1326" s="9" t="s">
        <v>176</v>
      </c>
      <c r="K1326" s="7"/>
      <c r="L1326" s="7" t="s">
        <v>52</v>
      </c>
      <c r="M1326" s="7">
        <f t="shared" si="100"/>
        <v>1</v>
      </c>
      <c r="N1326" s="9" t="s">
        <v>177</v>
      </c>
      <c r="O1326" s="7"/>
      <c r="P1326" s="9"/>
      <c r="Q1326" s="7"/>
      <c r="R1326" s="7"/>
      <c r="S1326" s="7"/>
      <c r="T1326" s="7"/>
      <c r="U1326" s="7"/>
      <c r="V1326" s="7"/>
      <c r="W1326" s="7"/>
      <c r="X1326" s="7">
        <v>3</v>
      </c>
      <c r="Y1326" s="7"/>
      <c r="Z1326" s="7"/>
      <c r="AA1326" s="7"/>
      <c r="AB1326" s="7">
        <f t="shared" si="103"/>
        <v>1</v>
      </c>
      <c r="AC1326" s="7">
        <f t="shared" si="101"/>
        <v>1</v>
      </c>
      <c r="AD1326" s="7"/>
      <c r="AE1326" s="7"/>
      <c r="AF1326" s="7"/>
      <c r="AG1326" s="7"/>
      <c r="AH1326" s="7"/>
      <c r="AI1326" s="7"/>
      <c r="AJ1326" s="7"/>
      <c r="AK1326" s="7"/>
      <c r="AL1326" s="9"/>
      <c r="AM1326" s="7" t="s">
        <v>71</v>
      </c>
      <c r="AN1326" s="7" t="s">
        <v>71</v>
      </c>
      <c r="AO1326" s="12"/>
    </row>
    <row r="1327" spans="1:41" s="11" customFormat="1" x14ac:dyDescent="0.25">
      <c r="A1327" s="2">
        <v>1326</v>
      </c>
      <c r="B1327" s="7">
        <v>102</v>
      </c>
      <c r="C1327" s="7" t="s">
        <v>50</v>
      </c>
      <c r="D1327" s="7">
        <v>60</v>
      </c>
      <c r="E1327" s="7">
        <v>60</v>
      </c>
      <c r="F1327" s="8">
        <v>1</v>
      </c>
      <c r="G1327" s="8">
        <v>1</v>
      </c>
      <c r="H1327" s="7">
        <v>1</v>
      </c>
      <c r="I1327" s="7">
        <v>1</v>
      </c>
      <c r="J1327" s="9" t="s">
        <v>35</v>
      </c>
      <c r="K1327" s="7">
        <v>2</v>
      </c>
      <c r="L1327" s="7" t="s">
        <v>52</v>
      </c>
      <c r="M1327" s="7">
        <f t="shared" si="100"/>
        <v>1</v>
      </c>
      <c r="N1327" s="9" t="s">
        <v>34</v>
      </c>
      <c r="O1327" s="7">
        <v>1</v>
      </c>
      <c r="P1327" s="9" t="s">
        <v>63</v>
      </c>
      <c r="Q1327" s="7" t="s">
        <v>38</v>
      </c>
      <c r="R1327" s="7" t="s">
        <v>38</v>
      </c>
      <c r="S1327" s="10" t="s">
        <v>2156</v>
      </c>
      <c r="T1327" s="7"/>
      <c r="U1327" s="7"/>
      <c r="V1327" s="7"/>
      <c r="W1327" s="7"/>
      <c r="X1327" s="7"/>
      <c r="Y1327" s="7">
        <v>40</v>
      </c>
      <c r="Z1327" s="7">
        <v>40</v>
      </c>
      <c r="AA1327" s="7">
        <v>90</v>
      </c>
      <c r="AB1327" s="7">
        <f t="shared" si="103"/>
        <v>13.333333333333334</v>
      </c>
      <c r="AC1327" s="7">
        <f t="shared" si="101"/>
        <v>13.333333333333334</v>
      </c>
      <c r="AD1327" s="7"/>
      <c r="AE1327" s="7"/>
      <c r="AF1327" s="7"/>
      <c r="AG1327" s="7"/>
      <c r="AH1327" s="7"/>
      <c r="AI1327" s="7"/>
      <c r="AJ1327" s="7"/>
      <c r="AK1327" s="7"/>
      <c r="AL1327" s="9"/>
      <c r="AM1327" s="7" t="s">
        <v>71</v>
      </c>
      <c r="AN1327" s="7" t="s">
        <v>71</v>
      </c>
      <c r="AO1327" s="12"/>
    </row>
    <row r="1328" spans="1:41" s="11" customFormat="1" x14ac:dyDescent="0.25">
      <c r="A1328" s="2">
        <v>1327</v>
      </c>
      <c r="B1328" s="7">
        <v>102</v>
      </c>
      <c r="C1328" s="7" t="s">
        <v>50</v>
      </c>
      <c r="D1328" s="7">
        <v>26</v>
      </c>
      <c r="E1328" s="7">
        <v>26</v>
      </c>
      <c r="F1328" s="8">
        <v>1</v>
      </c>
      <c r="G1328" s="8">
        <v>1</v>
      </c>
      <c r="H1328" s="7">
        <v>1</v>
      </c>
      <c r="I1328" s="7">
        <v>1</v>
      </c>
      <c r="J1328" s="9" t="s">
        <v>35</v>
      </c>
      <c r="K1328" s="7">
        <v>1</v>
      </c>
      <c r="L1328" s="7" t="s">
        <v>52</v>
      </c>
      <c r="M1328" s="7">
        <f t="shared" si="100"/>
        <v>1</v>
      </c>
      <c r="N1328" s="9" t="s">
        <v>34</v>
      </c>
      <c r="O1328" s="7">
        <v>0</v>
      </c>
      <c r="P1328" s="9" t="s">
        <v>63</v>
      </c>
      <c r="Q1328" s="7" t="s">
        <v>38</v>
      </c>
      <c r="R1328" s="7"/>
      <c r="S1328" s="10" t="s">
        <v>2157</v>
      </c>
      <c r="T1328" s="7"/>
      <c r="U1328" s="7"/>
      <c r="V1328" s="7"/>
      <c r="W1328" s="7"/>
      <c r="X1328" s="7"/>
      <c r="Y1328" s="7">
        <v>35</v>
      </c>
      <c r="Z1328" s="7">
        <v>35</v>
      </c>
      <c r="AA1328" s="7">
        <v>70</v>
      </c>
      <c r="AB1328" s="7">
        <f t="shared" si="103"/>
        <v>11.666666666666666</v>
      </c>
      <c r="AC1328" s="7">
        <f t="shared" si="101"/>
        <v>11.666666666666666</v>
      </c>
      <c r="AD1328" s="7"/>
      <c r="AE1328" s="7"/>
      <c r="AF1328" s="7"/>
      <c r="AG1328" s="7"/>
      <c r="AH1328" s="7"/>
      <c r="AI1328" s="7"/>
      <c r="AJ1328" s="7"/>
      <c r="AK1328" s="7"/>
      <c r="AL1328" s="9"/>
      <c r="AM1328" s="7" t="s">
        <v>42</v>
      </c>
      <c r="AN1328" s="7" t="s">
        <v>42</v>
      </c>
      <c r="AO1328" s="12"/>
    </row>
    <row r="1329" spans="1:41" s="11" customFormat="1" ht="24" x14ac:dyDescent="0.25">
      <c r="A1329" s="2">
        <v>1328</v>
      </c>
      <c r="B1329" s="7">
        <v>102</v>
      </c>
      <c r="C1329" s="7" t="s">
        <v>823</v>
      </c>
      <c r="D1329" s="7" t="s">
        <v>1129</v>
      </c>
      <c r="E1329" s="7">
        <v>88</v>
      </c>
      <c r="F1329" s="8">
        <v>1</v>
      </c>
      <c r="G1329" s="8">
        <v>3</v>
      </c>
      <c r="H1329" s="7">
        <v>3</v>
      </c>
      <c r="I1329" s="7">
        <v>3</v>
      </c>
      <c r="J1329" s="9" t="s">
        <v>70</v>
      </c>
      <c r="K1329" s="7">
        <v>1</v>
      </c>
      <c r="L1329" s="7" t="s">
        <v>52</v>
      </c>
      <c r="M1329" s="7">
        <f t="shared" si="100"/>
        <v>1</v>
      </c>
      <c r="N1329" s="9" t="s">
        <v>34</v>
      </c>
      <c r="O1329" s="7">
        <v>2</v>
      </c>
      <c r="P1329" s="9" t="s">
        <v>33</v>
      </c>
      <c r="Q1329" s="7" t="s">
        <v>38</v>
      </c>
      <c r="R1329" s="7" t="s">
        <v>38</v>
      </c>
      <c r="S1329" s="10" t="s">
        <v>2158</v>
      </c>
      <c r="T1329" s="7"/>
      <c r="U1329" s="7"/>
      <c r="V1329" s="7"/>
      <c r="W1329" s="7"/>
      <c r="X1329" s="7">
        <v>3</v>
      </c>
      <c r="Y1329" s="7">
        <v>100</v>
      </c>
      <c r="Z1329" s="7">
        <v>100</v>
      </c>
      <c r="AA1329" s="7">
        <v>57</v>
      </c>
      <c r="AB1329" s="7">
        <f t="shared" si="103"/>
        <v>34.333333333333336</v>
      </c>
      <c r="AC1329" s="7">
        <f t="shared" si="101"/>
        <v>34.333333333333336</v>
      </c>
      <c r="AD1329" s="7"/>
      <c r="AE1329" s="7"/>
      <c r="AF1329" s="7"/>
      <c r="AG1329" s="7"/>
      <c r="AH1329" s="7"/>
      <c r="AI1329" s="7"/>
      <c r="AJ1329" s="10" t="s">
        <v>2403</v>
      </c>
      <c r="AK1329" s="7"/>
      <c r="AL1329" s="9"/>
      <c r="AM1329" s="7" t="s">
        <v>42</v>
      </c>
      <c r="AN1329" s="7" t="s">
        <v>42</v>
      </c>
      <c r="AO1329" s="15" t="s">
        <v>2692</v>
      </c>
    </row>
    <row r="1330" spans="1:41" s="11" customFormat="1" x14ac:dyDescent="0.25">
      <c r="A1330" s="2">
        <v>1329</v>
      </c>
      <c r="B1330" s="7">
        <v>102</v>
      </c>
      <c r="C1330" s="7" t="s">
        <v>100</v>
      </c>
      <c r="D1330" s="7">
        <v>3</v>
      </c>
      <c r="E1330" s="7">
        <v>3</v>
      </c>
      <c r="F1330" s="8">
        <v>1</v>
      </c>
      <c r="G1330" s="8">
        <v>1</v>
      </c>
      <c r="H1330" s="7">
        <v>1</v>
      </c>
      <c r="I1330" s="7">
        <v>1</v>
      </c>
      <c r="J1330" s="9" t="s">
        <v>35</v>
      </c>
      <c r="K1330" s="7">
        <v>2</v>
      </c>
      <c r="L1330" s="7" t="s">
        <v>52</v>
      </c>
      <c r="M1330" s="7">
        <f t="shared" si="100"/>
        <v>1</v>
      </c>
      <c r="N1330" s="9"/>
      <c r="O1330" s="7"/>
      <c r="P1330" s="9"/>
      <c r="Q1330" s="7"/>
      <c r="R1330" s="7"/>
      <c r="S1330" s="7"/>
      <c r="T1330" s="7"/>
      <c r="U1330" s="7"/>
      <c r="V1330" s="7"/>
      <c r="W1330" s="7"/>
      <c r="X1330" s="7">
        <v>3</v>
      </c>
      <c r="Y1330" s="7"/>
      <c r="Z1330" s="7"/>
      <c r="AA1330" s="7"/>
      <c r="AB1330" s="7">
        <f t="shared" si="103"/>
        <v>1</v>
      </c>
      <c r="AC1330" s="7">
        <f t="shared" si="101"/>
        <v>1</v>
      </c>
      <c r="AD1330" s="7"/>
      <c r="AE1330" s="7"/>
      <c r="AF1330" s="7"/>
      <c r="AG1330" s="7"/>
      <c r="AH1330" s="7"/>
      <c r="AI1330" s="7"/>
      <c r="AJ1330" s="7"/>
      <c r="AK1330" s="7"/>
      <c r="AL1330" s="9"/>
      <c r="AM1330" s="7" t="s">
        <v>71</v>
      </c>
      <c r="AN1330" s="7" t="s">
        <v>71</v>
      </c>
      <c r="AO1330" s="12"/>
    </row>
    <row r="1331" spans="1:41" s="11" customFormat="1" x14ac:dyDescent="0.25">
      <c r="A1331" s="2">
        <v>1330</v>
      </c>
      <c r="B1331" s="7" t="s">
        <v>547</v>
      </c>
      <c r="C1331" s="7" t="s">
        <v>32</v>
      </c>
      <c r="D1331" s="7">
        <v>43</v>
      </c>
      <c r="E1331" s="7">
        <v>43</v>
      </c>
      <c r="F1331" s="8">
        <v>1</v>
      </c>
      <c r="G1331" s="8">
        <v>1</v>
      </c>
      <c r="H1331" s="7">
        <v>1</v>
      </c>
      <c r="I1331" s="7">
        <v>1</v>
      </c>
      <c r="J1331" s="9" t="s">
        <v>35</v>
      </c>
      <c r="K1331" s="7">
        <v>2</v>
      </c>
      <c r="L1331" s="7" t="s">
        <v>52</v>
      </c>
      <c r="M1331" s="7">
        <f t="shared" si="100"/>
        <v>1</v>
      </c>
      <c r="N1331" s="9" t="s">
        <v>34</v>
      </c>
      <c r="O1331" s="7">
        <v>1</v>
      </c>
      <c r="P1331" s="9" t="s">
        <v>63</v>
      </c>
      <c r="Q1331" s="7" t="s">
        <v>38</v>
      </c>
      <c r="R1331" s="7" t="s">
        <v>38</v>
      </c>
      <c r="S1331" s="10" t="s">
        <v>2159</v>
      </c>
      <c r="T1331" s="7"/>
      <c r="U1331" s="7"/>
      <c r="V1331" s="7"/>
      <c r="W1331" s="7"/>
      <c r="X1331" s="7">
        <v>3</v>
      </c>
      <c r="Y1331" s="7">
        <v>20</v>
      </c>
      <c r="Z1331" s="7">
        <v>20</v>
      </c>
      <c r="AA1331" s="7">
        <v>80</v>
      </c>
      <c r="AB1331" s="7">
        <f t="shared" si="103"/>
        <v>7.666666666666667</v>
      </c>
      <c r="AC1331" s="7">
        <f t="shared" si="101"/>
        <v>7.666666666666667</v>
      </c>
      <c r="AD1331" s="7"/>
      <c r="AE1331" s="7">
        <v>1</v>
      </c>
      <c r="AF1331" s="7"/>
      <c r="AG1331" s="7" t="s">
        <v>1130</v>
      </c>
      <c r="AH1331" s="7"/>
      <c r="AI1331" s="7"/>
      <c r="AJ1331" s="7"/>
      <c r="AK1331" s="7"/>
      <c r="AL1331" s="9"/>
      <c r="AM1331" s="7" t="s">
        <v>42</v>
      </c>
      <c r="AN1331" s="7" t="s">
        <v>42</v>
      </c>
      <c r="AO1331" s="15" t="s">
        <v>2693</v>
      </c>
    </row>
    <row r="1332" spans="1:41" s="11" customFormat="1" x14ac:dyDescent="0.25">
      <c r="A1332" s="2">
        <v>1331</v>
      </c>
      <c r="B1332" s="7" t="s">
        <v>547</v>
      </c>
      <c r="C1332" s="7" t="s">
        <v>104</v>
      </c>
      <c r="D1332" s="7">
        <v>19</v>
      </c>
      <c r="E1332" s="7">
        <v>19</v>
      </c>
      <c r="F1332" s="8">
        <v>1</v>
      </c>
      <c r="G1332" s="8">
        <v>1</v>
      </c>
      <c r="H1332" s="7">
        <v>1</v>
      </c>
      <c r="I1332" s="7">
        <v>1</v>
      </c>
      <c r="J1332" s="9" t="s">
        <v>35</v>
      </c>
      <c r="K1332" s="7">
        <v>2</v>
      </c>
      <c r="L1332" s="7" t="s">
        <v>52</v>
      </c>
      <c r="M1332" s="7">
        <f t="shared" si="100"/>
        <v>1</v>
      </c>
      <c r="N1332" s="9" t="s">
        <v>36</v>
      </c>
      <c r="O1332" s="7">
        <v>0</v>
      </c>
      <c r="P1332" s="9" t="s">
        <v>63</v>
      </c>
      <c r="Q1332" s="7" t="s">
        <v>38</v>
      </c>
      <c r="R1332" s="7" t="s">
        <v>38</v>
      </c>
      <c r="S1332" s="10" t="s">
        <v>2160</v>
      </c>
      <c r="T1332" s="7"/>
      <c r="U1332" s="7"/>
      <c r="V1332" s="7"/>
      <c r="W1332" s="7"/>
      <c r="X1332" s="7">
        <v>3</v>
      </c>
      <c r="Y1332" s="7"/>
      <c r="Z1332" s="7"/>
      <c r="AA1332" s="7"/>
      <c r="AB1332" s="7">
        <f t="shared" si="103"/>
        <v>1</v>
      </c>
      <c r="AC1332" s="7">
        <f t="shared" si="101"/>
        <v>1</v>
      </c>
      <c r="AD1332" s="7"/>
      <c r="AE1332" s="7">
        <v>1</v>
      </c>
      <c r="AF1332" s="7" t="s">
        <v>40</v>
      </c>
      <c r="AG1332" s="7"/>
      <c r="AH1332" s="7"/>
      <c r="AI1332" s="7"/>
      <c r="AJ1332" s="7"/>
      <c r="AK1332" s="7"/>
      <c r="AL1332" s="9"/>
      <c r="AM1332" s="7" t="s">
        <v>71</v>
      </c>
      <c r="AN1332" s="7" t="s">
        <v>71</v>
      </c>
      <c r="AO1332" s="12"/>
    </row>
    <row r="1333" spans="1:41" s="11" customFormat="1" x14ac:dyDescent="0.25">
      <c r="A1333" s="2">
        <v>1332</v>
      </c>
      <c r="B1333" s="7" t="s">
        <v>547</v>
      </c>
      <c r="C1333" s="7" t="s">
        <v>119</v>
      </c>
      <c r="D1333" s="7">
        <v>4</v>
      </c>
      <c r="E1333" s="7">
        <v>4</v>
      </c>
      <c r="F1333" s="8">
        <v>1</v>
      </c>
      <c r="G1333" s="8">
        <v>1</v>
      </c>
      <c r="H1333" s="7">
        <v>1</v>
      </c>
      <c r="I1333" s="7">
        <v>1</v>
      </c>
      <c r="J1333" s="9" t="s">
        <v>35</v>
      </c>
      <c r="K1333" s="7">
        <v>1</v>
      </c>
      <c r="L1333" s="7" t="s">
        <v>52</v>
      </c>
      <c r="M1333" s="7">
        <f t="shared" si="100"/>
        <v>1</v>
      </c>
      <c r="N1333" s="9" t="s">
        <v>36</v>
      </c>
      <c r="O1333" s="7">
        <v>0</v>
      </c>
      <c r="P1333" s="9" t="s">
        <v>63</v>
      </c>
      <c r="Q1333" s="7"/>
      <c r="R1333" s="7" t="s">
        <v>38</v>
      </c>
      <c r="S1333" s="10" t="s">
        <v>2161</v>
      </c>
      <c r="T1333" s="7"/>
      <c r="U1333" s="7"/>
      <c r="V1333" s="7"/>
      <c r="W1333" s="7"/>
      <c r="X1333" s="7"/>
      <c r="Y1333" s="7"/>
      <c r="Z1333" s="7"/>
      <c r="AA1333" s="7"/>
      <c r="AB1333" s="7">
        <v>0.33333333333333298</v>
      </c>
      <c r="AC1333" s="7">
        <f t="shared" si="101"/>
        <v>0.33333333333333298</v>
      </c>
      <c r="AD1333" s="7">
        <v>1</v>
      </c>
      <c r="AE1333" s="7"/>
      <c r="AF1333" s="7" t="s">
        <v>40</v>
      </c>
      <c r="AG1333" s="7" t="s">
        <v>247</v>
      </c>
      <c r="AH1333" s="7"/>
      <c r="AI1333" s="7"/>
      <c r="AJ1333" s="7"/>
      <c r="AK1333" s="7"/>
      <c r="AL1333" s="9"/>
      <c r="AM1333" s="7" t="s">
        <v>71</v>
      </c>
      <c r="AN1333" s="7" t="s">
        <v>71</v>
      </c>
      <c r="AO1333" s="12"/>
    </row>
    <row r="1334" spans="1:41" s="11" customFormat="1" x14ac:dyDescent="0.25">
      <c r="A1334" s="2">
        <v>1333</v>
      </c>
      <c r="B1334" s="7" t="s">
        <v>547</v>
      </c>
      <c r="C1334" s="7" t="s">
        <v>89</v>
      </c>
      <c r="D1334" s="7" t="s">
        <v>159</v>
      </c>
      <c r="E1334" s="7">
        <v>6</v>
      </c>
      <c r="F1334" s="8">
        <v>2</v>
      </c>
      <c r="G1334" s="8">
        <v>2</v>
      </c>
      <c r="H1334" s="7" t="s">
        <v>87</v>
      </c>
      <c r="I1334" s="7">
        <v>2</v>
      </c>
      <c r="J1334" s="9" t="s">
        <v>35</v>
      </c>
      <c r="K1334" s="7">
        <v>2</v>
      </c>
      <c r="L1334" s="7" t="s">
        <v>52</v>
      </c>
      <c r="M1334" s="7">
        <f t="shared" si="100"/>
        <v>2</v>
      </c>
      <c r="N1334" s="9"/>
      <c r="O1334" s="7"/>
      <c r="P1334" s="9"/>
      <c r="Q1334" s="7"/>
      <c r="R1334" s="7"/>
      <c r="S1334" s="7"/>
      <c r="T1334" s="7"/>
      <c r="U1334" s="7"/>
      <c r="V1334" s="7"/>
      <c r="W1334" s="7"/>
      <c r="X1334" s="7">
        <v>3</v>
      </c>
      <c r="Y1334" s="7"/>
      <c r="Z1334" s="7"/>
      <c r="AA1334" s="7"/>
      <c r="AB1334" s="7">
        <f t="shared" ref="AB1334:AB1349" si="104">(U1334+X1334+Z1334)/3</f>
        <v>1</v>
      </c>
      <c r="AC1334" s="7">
        <f t="shared" si="101"/>
        <v>1</v>
      </c>
      <c r="AD1334" s="7"/>
      <c r="AE1334" s="7"/>
      <c r="AF1334" s="7"/>
      <c r="AG1334" s="7"/>
      <c r="AH1334" s="7"/>
      <c r="AI1334" s="7"/>
      <c r="AJ1334" s="7"/>
      <c r="AK1334" s="7"/>
      <c r="AL1334" s="9"/>
      <c r="AM1334" s="7" t="s">
        <v>71</v>
      </c>
      <c r="AN1334" s="7" t="s">
        <v>71</v>
      </c>
      <c r="AO1334" s="12"/>
    </row>
    <row r="1335" spans="1:41" s="11" customFormat="1" x14ac:dyDescent="0.25">
      <c r="A1335" s="2">
        <v>1334</v>
      </c>
      <c r="B1335" s="7" t="s">
        <v>547</v>
      </c>
      <c r="C1335" s="7" t="s">
        <v>50</v>
      </c>
      <c r="D1335" s="7">
        <v>26</v>
      </c>
      <c r="E1335" s="7">
        <v>26</v>
      </c>
      <c r="F1335" s="8">
        <v>1</v>
      </c>
      <c r="G1335" s="8">
        <v>1</v>
      </c>
      <c r="H1335" s="7">
        <v>1</v>
      </c>
      <c r="I1335" s="7">
        <v>1</v>
      </c>
      <c r="J1335" s="9" t="s">
        <v>77</v>
      </c>
      <c r="K1335" s="7">
        <v>1</v>
      </c>
      <c r="L1335" s="7" t="s">
        <v>52</v>
      </c>
      <c r="M1335" s="7">
        <f t="shared" si="100"/>
        <v>1</v>
      </c>
      <c r="N1335" s="9" t="s">
        <v>34</v>
      </c>
      <c r="O1335" s="7">
        <v>0</v>
      </c>
      <c r="P1335" s="9" t="s">
        <v>63</v>
      </c>
      <c r="Q1335" s="7" t="s">
        <v>38</v>
      </c>
      <c r="R1335" s="7" t="s">
        <v>38</v>
      </c>
      <c r="S1335" s="10" t="s">
        <v>2162</v>
      </c>
      <c r="T1335" s="7"/>
      <c r="U1335" s="7"/>
      <c r="V1335" s="7"/>
      <c r="W1335" s="7"/>
      <c r="X1335" s="7"/>
      <c r="Y1335" s="7">
        <v>20</v>
      </c>
      <c r="Z1335" s="7">
        <v>20</v>
      </c>
      <c r="AA1335" s="7">
        <v>60</v>
      </c>
      <c r="AB1335" s="7">
        <f t="shared" si="104"/>
        <v>6.666666666666667</v>
      </c>
      <c r="AC1335" s="7">
        <f t="shared" si="101"/>
        <v>6.666666666666667</v>
      </c>
      <c r="AD1335" s="7"/>
      <c r="AE1335" s="7"/>
      <c r="AF1335" s="7"/>
      <c r="AG1335" s="7"/>
      <c r="AH1335" s="7"/>
      <c r="AI1335" s="7"/>
      <c r="AJ1335" s="7"/>
      <c r="AK1335" s="7"/>
      <c r="AL1335" s="9"/>
      <c r="AM1335" s="7" t="s">
        <v>42</v>
      </c>
      <c r="AN1335" s="7" t="s">
        <v>42</v>
      </c>
      <c r="AO1335" s="12"/>
    </row>
    <row r="1336" spans="1:41" s="11" customFormat="1" x14ac:dyDescent="0.25">
      <c r="A1336" s="2">
        <v>1335</v>
      </c>
      <c r="B1336" s="7" t="s">
        <v>547</v>
      </c>
      <c r="C1336" s="7" t="s">
        <v>50</v>
      </c>
      <c r="D1336" s="7">
        <v>20</v>
      </c>
      <c r="E1336" s="7">
        <v>20</v>
      </c>
      <c r="F1336" s="8">
        <v>1</v>
      </c>
      <c r="G1336" s="8">
        <v>1</v>
      </c>
      <c r="H1336" s="7">
        <v>1</v>
      </c>
      <c r="I1336" s="7">
        <v>1</v>
      </c>
      <c r="J1336" s="9" t="s">
        <v>77</v>
      </c>
      <c r="K1336" s="7">
        <v>1</v>
      </c>
      <c r="L1336" s="7" t="s">
        <v>52</v>
      </c>
      <c r="M1336" s="7">
        <f t="shared" si="100"/>
        <v>1</v>
      </c>
      <c r="N1336" s="9" t="s">
        <v>34</v>
      </c>
      <c r="O1336" s="7">
        <v>0</v>
      </c>
      <c r="P1336" s="9" t="s">
        <v>63</v>
      </c>
      <c r="Q1336" s="7" t="s">
        <v>38</v>
      </c>
      <c r="R1336" s="7" t="s">
        <v>38</v>
      </c>
      <c r="S1336" s="10" t="s">
        <v>2163</v>
      </c>
      <c r="T1336" s="7"/>
      <c r="U1336" s="7"/>
      <c r="V1336" s="7"/>
      <c r="W1336" s="7"/>
      <c r="X1336" s="7"/>
      <c r="Y1336" s="7">
        <v>25</v>
      </c>
      <c r="Z1336" s="7">
        <v>25</v>
      </c>
      <c r="AA1336" s="7">
        <v>60</v>
      </c>
      <c r="AB1336" s="7">
        <f t="shared" si="104"/>
        <v>8.3333333333333339</v>
      </c>
      <c r="AC1336" s="7">
        <f t="shared" si="101"/>
        <v>8.3333333333333339</v>
      </c>
      <c r="AD1336" s="7"/>
      <c r="AE1336" s="7">
        <v>1</v>
      </c>
      <c r="AF1336" s="7"/>
      <c r="AG1336" s="7" t="s">
        <v>534</v>
      </c>
      <c r="AH1336" s="7"/>
      <c r="AI1336" s="7"/>
      <c r="AJ1336" s="7"/>
      <c r="AK1336" s="7"/>
      <c r="AL1336" s="9"/>
      <c r="AM1336" s="7" t="s">
        <v>42</v>
      </c>
      <c r="AN1336" s="7" t="s">
        <v>42</v>
      </c>
      <c r="AO1336" s="12"/>
    </row>
    <row r="1337" spans="1:41" s="11" customFormat="1" x14ac:dyDescent="0.25">
      <c r="A1337" s="2">
        <v>1336</v>
      </c>
      <c r="B1337" s="7" t="s">
        <v>547</v>
      </c>
      <c r="C1337" s="7" t="s">
        <v>50</v>
      </c>
      <c r="D1337" s="7">
        <v>16</v>
      </c>
      <c r="E1337" s="7">
        <v>16</v>
      </c>
      <c r="F1337" s="8">
        <v>1</v>
      </c>
      <c r="G1337" s="8">
        <v>1</v>
      </c>
      <c r="H1337" s="7">
        <v>1</v>
      </c>
      <c r="I1337" s="7">
        <v>1</v>
      </c>
      <c r="J1337" s="9" t="s">
        <v>77</v>
      </c>
      <c r="K1337" s="7">
        <v>1</v>
      </c>
      <c r="L1337" s="7" t="s">
        <v>52</v>
      </c>
      <c r="M1337" s="7">
        <f t="shared" si="100"/>
        <v>1</v>
      </c>
      <c r="N1337" s="9" t="s">
        <v>36</v>
      </c>
      <c r="O1337" s="7">
        <v>0</v>
      </c>
      <c r="P1337" s="9" t="s">
        <v>63</v>
      </c>
      <c r="Q1337" s="7" t="s">
        <v>38</v>
      </c>
      <c r="R1337" s="7" t="s">
        <v>38</v>
      </c>
      <c r="S1337" s="10" t="s">
        <v>1786</v>
      </c>
      <c r="T1337" s="7"/>
      <c r="U1337" s="7"/>
      <c r="V1337" s="7"/>
      <c r="W1337" s="7"/>
      <c r="X1337" s="7"/>
      <c r="Y1337" s="7">
        <v>20</v>
      </c>
      <c r="Z1337" s="7">
        <v>20</v>
      </c>
      <c r="AA1337" s="7">
        <v>80</v>
      </c>
      <c r="AB1337" s="7">
        <f t="shared" si="104"/>
        <v>6.666666666666667</v>
      </c>
      <c r="AC1337" s="7">
        <f t="shared" si="101"/>
        <v>6.666666666666667</v>
      </c>
      <c r="AD1337" s="7"/>
      <c r="AE1337" s="7"/>
      <c r="AF1337" s="7"/>
      <c r="AG1337" s="7"/>
      <c r="AH1337" s="7"/>
      <c r="AI1337" s="7"/>
      <c r="AJ1337" s="10" t="s">
        <v>2404</v>
      </c>
      <c r="AK1337" s="7"/>
      <c r="AL1337" s="9"/>
      <c r="AM1337" s="7" t="s">
        <v>42</v>
      </c>
      <c r="AN1337" s="7" t="s">
        <v>42</v>
      </c>
      <c r="AO1337" s="12"/>
    </row>
    <row r="1338" spans="1:41" s="11" customFormat="1" ht="24" x14ac:dyDescent="0.25">
      <c r="A1338" s="2">
        <v>1337</v>
      </c>
      <c r="B1338" s="7" t="s">
        <v>547</v>
      </c>
      <c r="C1338" s="7" t="s">
        <v>309</v>
      </c>
      <c r="D1338" s="7" t="s">
        <v>1131</v>
      </c>
      <c r="E1338" s="7">
        <f>21+16+7</f>
        <v>44</v>
      </c>
      <c r="F1338" s="8">
        <v>1</v>
      </c>
      <c r="G1338" s="8">
        <v>3</v>
      </c>
      <c r="H1338" s="7">
        <v>3</v>
      </c>
      <c r="I1338" s="7">
        <v>3</v>
      </c>
      <c r="J1338" s="9" t="s">
        <v>77</v>
      </c>
      <c r="K1338" s="7">
        <v>1</v>
      </c>
      <c r="L1338" s="7" t="s">
        <v>38</v>
      </c>
      <c r="M1338" s="7">
        <f t="shared" si="100"/>
        <v>0</v>
      </c>
      <c r="N1338" s="9" t="s">
        <v>36</v>
      </c>
      <c r="O1338" s="7">
        <v>0</v>
      </c>
      <c r="P1338" s="9" t="s">
        <v>34</v>
      </c>
      <c r="Q1338" s="7" t="s">
        <v>38</v>
      </c>
      <c r="R1338" s="7" t="s">
        <v>38</v>
      </c>
      <c r="S1338" s="7"/>
      <c r="T1338" s="7"/>
      <c r="U1338" s="7"/>
      <c r="V1338" s="7"/>
      <c r="W1338" s="7"/>
      <c r="X1338" s="7">
        <v>5</v>
      </c>
      <c r="Y1338" s="7"/>
      <c r="Z1338" s="7"/>
      <c r="AA1338" s="7"/>
      <c r="AB1338" s="7">
        <f t="shared" si="104"/>
        <v>1.6666666666666667</v>
      </c>
      <c r="AC1338" s="7">
        <f t="shared" si="101"/>
        <v>0</v>
      </c>
      <c r="AD1338" s="7"/>
      <c r="AE1338" s="7">
        <v>1</v>
      </c>
      <c r="AF1338" s="7" t="s">
        <v>40</v>
      </c>
      <c r="AG1338" s="7" t="s">
        <v>490</v>
      </c>
      <c r="AH1338" s="7"/>
      <c r="AI1338" s="7"/>
      <c r="AJ1338" s="7"/>
      <c r="AK1338" s="7"/>
      <c r="AL1338" s="9"/>
      <c r="AM1338" s="7" t="s">
        <v>42</v>
      </c>
      <c r="AN1338" s="7" t="s">
        <v>42</v>
      </c>
      <c r="AO1338" s="12"/>
    </row>
    <row r="1339" spans="1:41" s="11" customFormat="1" x14ac:dyDescent="0.25">
      <c r="A1339" s="2">
        <v>1338</v>
      </c>
      <c r="B1339" s="7" t="s">
        <v>547</v>
      </c>
      <c r="C1339" s="7" t="s">
        <v>89</v>
      </c>
      <c r="D1339" s="7" t="s">
        <v>1132</v>
      </c>
      <c r="E1339" s="7">
        <v>17</v>
      </c>
      <c r="F1339" s="8">
        <v>3</v>
      </c>
      <c r="G1339" s="8">
        <v>3</v>
      </c>
      <c r="H1339" s="7" t="s">
        <v>97</v>
      </c>
      <c r="I1339" s="7">
        <v>3</v>
      </c>
      <c r="J1339" s="9" t="s">
        <v>77</v>
      </c>
      <c r="K1339" s="7">
        <v>1</v>
      </c>
      <c r="L1339" s="7" t="s">
        <v>38</v>
      </c>
      <c r="M1339" s="7">
        <f t="shared" si="100"/>
        <v>0</v>
      </c>
      <c r="N1339" s="9"/>
      <c r="O1339" s="7"/>
      <c r="P1339" s="9"/>
      <c r="Q1339" s="7"/>
      <c r="R1339" s="7"/>
      <c r="S1339" s="7"/>
      <c r="T1339" s="7"/>
      <c r="U1339" s="7"/>
      <c r="V1339" s="7"/>
      <c r="W1339" s="7"/>
      <c r="X1339" s="7">
        <v>3</v>
      </c>
      <c r="Y1339" s="7"/>
      <c r="Z1339" s="7"/>
      <c r="AA1339" s="7"/>
      <c r="AB1339" s="7">
        <f t="shared" si="104"/>
        <v>1</v>
      </c>
      <c r="AC1339" s="7">
        <f t="shared" si="101"/>
        <v>0</v>
      </c>
      <c r="AD1339" s="7"/>
      <c r="AE1339" s="7"/>
      <c r="AF1339" s="7"/>
      <c r="AG1339" s="7"/>
      <c r="AH1339" s="7"/>
      <c r="AI1339" s="7"/>
      <c r="AJ1339" s="7"/>
      <c r="AK1339" s="7"/>
      <c r="AL1339" s="9"/>
      <c r="AM1339" s="7" t="s">
        <v>71</v>
      </c>
      <c r="AN1339" s="7" t="s">
        <v>71</v>
      </c>
      <c r="AO1339" s="12"/>
    </row>
    <row r="1340" spans="1:41" s="11" customFormat="1" x14ac:dyDescent="0.25">
      <c r="A1340" s="2">
        <v>1339</v>
      </c>
      <c r="B1340" s="7" t="s">
        <v>547</v>
      </c>
      <c r="C1340" s="7" t="s">
        <v>78</v>
      </c>
      <c r="D1340" s="7">
        <v>2</v>
      </c>
      <c r="E1340" s="7">
        <v>2</v>
      </c>
      <c r="F1340" s="8">
        <v>1</v>
      </c>
      <c r="G1340" s="8">
        <v>1</v>
      </c>
      <c r="H1340" s="7">
        <v>1</v>
      </c>
      <c r="I1340" s="7">
        <v>1</v>
      </c>
      <c r="J1340" s="9" t="s">
        <v>77</v>
      </c>
      <c r="K1340" s="7">
        <v>1</v>
      </c>
      <c r="L1340" s="7" t="s">
        <v>38</v>
      </c>
      <c r="M1340" s="7">
        <f t="shared" si="100"/>
        <v>0</v>
      </c>
      <c r="N1340" s="9" t="s">
        <v>36</v>
      </c>
      <c r="O1340" s="7">
        <v>0</v>
      </c>
      <c r="P1340" s="9" t="s">
        <v>34</v>
      </c>
      <c r="Q1340" s="7" t="s">
        <v>38</v>
      </c>
      <c r="R1340" s="7" t="s">
        <v>38</v>
      </c>
      <c r="S1340" s="10" t="s">
        <v>1546</v>
      </c>
      <c r="T1340" s="7" t="s">
        <v>92</v>
      </c>
      <c r="U1340" s="7">
        <v>3</v>
      </c>
      <c r="V1340" s="7" t="s">
        <v>199</v>
      </c>
      <c r="W1340" s="7" t="s">
        <v>254</v>
      </c>
      <c r="X1340" s="7"/>
      <c r="Y1340" s="7"/>
      <c r="Z1340" s="7"/>
      <c r="AA1340" s="7"/>
      <c r="AB1340" s="7">
        <f t="shared" si="104"/>
        <v>1</v>
      </c>
      <c r="AC1340" s="7">
        <f t="shared" si="101"/>
        <v>0</v>
      </c>
      <c r="AD1340" s="7"/>
      <c r="AE1340" s="7"/>
      <c r="AF1340" s="7"/>
      <c r="AG1340" s="7"/>
      <c r="AH1340" s="7"/>
      <c r="AI1340" s="7"/>
      <c r="AJ1340" s="7"/>
      <c r="AK1340" s="7"/>
      <c r="AL1340" s="9"/>
      <c r="AM1340" s="7" t="s">
        <v>71</v>
      </c>
      <c r="AN1340" s="7" t="s">
        <v>71</v>
      </c>
      <c r="AO1340" s="12"/>
    </row>
    <row r="1341" spans="1:41" s="11" customFormat="1" ht="24" x14ac:dyDescent="0.25">
      <c r="A1341" s="2">
        <v>1340</v>
      </c>
      <c r="B1341" s="7" t="s">
        <v>547</v>
      </c>
      <c r="C1341" s="7" t="s">
        <v>100</v>
      </c>
      <c r="D1341" s="7">
        <v>25</v>
      </c>
      <c r="E1341" s="7">
        <v>25</v>
      </c>
      <c r="F1341" s="8">
        <v>1</v>
      </c>
      <c r="G1341" s="8">
        <v>1</v>
      </c>
      <c r="H1341" s="7">
        <v>1</v>
      </c>
      <c r="I1341" s="7">
        <v>1</v>
      </c>
      <c r="J1341" s="9" t="s">
        <v>353</v>
      </c>
      <c r="K1341" s="7"/>
      <c r="L1341" s="7" t="s">
        <v>38</v>
      </c>
      <c r="M1341" s="7">
        <f t="shared" si="100"/>
        <v>0</v>
      </c>
      <c r="N1341" s="9" t="s">
        <v>82</v>
      </c>
      <c r="O1341" s="7">
        <v>0</v>
      </c>
      <c r="P1341" s="9" t="s">
        <v>36</v>
      </c>
      <c r="Q1341" s="7"/>
      <c r="R1341" s="7" t="s">
        <v>38</v>
      </c>
      <c r="S1341" s="7"/>
      <c r="T1341" s="7"/>
      <c r="U1341" s="7"/>
      <c r="V1341" s="7"/>
      <c r="W1341" s="7"/>
      <c r="X1341" s="7">
        <v>3</v>
      </c>
      <c r="Y1341" s="7"/>
      <c r="Z1341" s="7"/>
      <c r="AA1341" s="7"/>
      <c r="AB1341" s="7">
        <f t="shared" si="104"/>
        <v>1</v>
      </c>
      <c r="AC1341" s="7">
        <f t="shared" si="101"/>
        <v>0</v>
      </c>
      <c r="AD1341" s="7"/>
      <c r="AE1341" s="7"/>
      <c r="AF1341" s="7"/>
      <c r="AG1341" s="7"/>
      <c r="AH1341" s="7"/>
      <c r="AI1341" s="7"/>
      <c r="AJ1341" s="7"/>
      <c r="AK1341" s="10" t="s">
        <v>2489</v>
      </c>
      <c r="AL1341" s="9"/>
      <c r="AM1341" s="7" t="s">
        <v>71</v>
      </c>
      <c r="AN1341" s="7" t="s">
        <v>71</v>
      </c>
      <c r="AO1341" s="12"/>
    </row>
    <row r="1342" spans="1:41" s="11" customFormat="1" x14ac:dyDescent="0.25">
      <c r="A1342" s="2">
        <v>1341</v>
      </c>
      <c r="B1342" s="7" t="s">
        <v>547</v>
      </c>
      <c r="C1342" s="7" t="s">
        <v>89</v>
      </c>
      <c r="D1342" s="7" t="s">
        <v>1133</v>
      </c>
      <c r="E1342" s="7">
        <f>25+9+9</f>
        <v>43</v>
      </c>
      <c r="F1342" s="8">
        <v>4</v>
      </c>
      <c r="G1342" s="8">
        <v>5</v>
      </c>
      <c r="H1342" s="7" t="s">
        <v>345</v>
      </c>
      <c r="I1342" s="7">
        <v>5</v>
      </c>
      <c r="J1342" s="9" t="s">
        <v>353</v>
      </c>
      <c r="K1342" s="7"/>
      <c r="L1342" s="7" t="s">
        <v>38</v>
      </c>
      <c r="M1342" s="7">
        <f t="shared" si="100"/>
        <v>0</v>
      </c>
      <c r="N1342" s="9"/>
      <c r="O1342" s="7"/>
      <c r="P1342" s="9"/>
      <c r="Q1342" s="7"/>
      <c r="R1342" s="7"/>
      <c r="S1342" s="7"/>
      <c r="T1342" s="7"/>
      <c r="U1342" s="7"/>
      <c r="V1342" s="7"/>
      <c r="W1342" s="7"/>
      <c r="X1342" s="7">
        <v>3</v>
      </c>
      <c r="Y1342" s="7"/>
      <c r="Z1342" s="7"/>
      <c r="AA1342" s="7"/>
      <c r="AB1342" s="7">
        <f t="shared" si="104"/>
        <v>1</v>
      </c>
      <c r="AC1342" s="7">
        <f t="shared" si="101"/>
        <v>0</v>
      </c>
      <c r="AD1342" s="7"/>
      <c r="AE1342" s="7"/>
      <c r="AF1342" s="7"/>
      <c r="AG1342" s="7"/>
      <c r="AH1342" s="7"/>
      <c r="AI1342" s="7"/>
      <c r="AJ1342" s="7"/>
      <c r="AK1342" s="7"/>
      <c r="AL1342" s="9"/>
      <c r="AM1342" s="7" t="s">
        <v>71</v>
      </c>
      <c r="AN1342" s="7" t="s">
        <v>71</v>
      </c>
      <c r="AO1342" s="15" t="s">
        <v>2694</v>
      </c>
    </row>
    <row r="1343" spans="1:41" s="11" customFormat="1" x14ac:dyDescent="0.25">
      <c r="A1343" s="2">
        <v>1342</v>
      </c>
      <c r="B1343" s="7" t="s">
        <v>547</v>
      </c>
      <c r="C1343" s="7" t="s">
        <v>89</v>
      </c>
      <c r="D1343" s="7" t="s">
        <v>1134</v>
      </c>
      <c r="E1343" s="7">
        <f>54</f>
        <v>54</v>
      </c>
      <c r="F1343" s="8">
        <v>2</v>
      </c>
      <c r="G1343" s="8">
        <v>2</v>
      </c>
      <c r="H1343" s="7" t="s">
        <v>87</v>
      </c>
      <c r="I1343" s="7">
        <v>2</v>
      </c>
      <c r="J1343" s="9" t="s">
        <v>219</v>
      </c>
      <c r="K1343" s="7">
        <v>6</v>
      </c>
      <c r="L1343" s="7" t="s">
        <v>52</v>
      </c>
      <c r="M1343" s="7">
        <f t="shared" si="100"/>
        <v>2</v>
      </c>
      <c r="N1343" s="9"/>
      <c r="O1343" s="7"/>
      <c r="P1343" s="9"/>
      <c r="Q1343" s="7"/>
      <c r="R1343" s="7"/>
      <c r="S1343" s="7"/>
      <c r="T1343" s="7"/>
      <c r="U1343" s="7"/>
      <c r="V1343" s="7"/>
      <c r="W1343" s="7"/>
      <c r="X1343" s="7">
        <v>3</v>
      </c>
      <c r="Y1343" s="7"/>
      <c r="Z1343" s="7"/>
      <c r="AA1343" s="7"/>
      <c r="AB1343" s="7">
        <f t="shared" si="104"/>
        <v>1</v>
      </c>
      <c r="AC1343" s="7">
        <f t="shared" si="101"/>
        <v>1</v>
      </c>
      <c r="AD1343" s="7"/>
      <c r="AE1343" s="7"/>
      <c r="AF1343" s="7"/>
      <c r="AG1343" s="7"/>
      <c r="AH1343" s="7"/>
      <c r="AI1343" s="7"/>
      <c r="AJ1343" s="7"/>
      <c r="AK1343" s="7"/>
      <c r="AL1343" s="9"/>
      <c r="AM1343" s="7" t="s">
        <v>71</v>
      </c>
      <c r="AN1343" s="7" t="s">
        <v>71</v>
      </c>
      <c r="AO1343" s="12"/>
    </row>
    <row r="1344" spans="1:41" s="11" customFormat="1" x14ac:dyDescent="0.25">
      <c r="A1344" s="2">
        <v>1343</v>
      </c>
      <c r="B1344" s="7" t="s">
        <v>547</v>
      </c>
      <c r="C1344" s="7" t="s">
        <v>100</v>
      </c>
      <c r="D1344" s="7">
        <v>23</v>
      </c>
      <c r="E1344" s="7">
        <v>23</v>
      </c>
      <c r="F1344" s="8">
        <v>1</v>
      </c>
      <c r="G1344" s="8">
        <v>1</v>
      </c>
      <c r="H1344" s="7">
        <v>1</v>
      </c>
      <c r="I1344" s="7">
        <v>1</v>
      </c>
      <c r="J1344" s="9" t="s">
        <v>219</v>
      </c>
      <c r="K1344" s="7">
        <v>1</v>
      </c>
      <c r="L1344" s="7" t="s">
        <v>52</v>
      </c>
      <c r="M1344" s="7">
        <f t="shared" si="100"/>
        <v>1</v>
      </c>
      <c r="N1344" s="9"/>
      <c r="O1344" s="7"/>
      <c r="P1344" s="9"/>
      <c r="Q1344" s="7"/>
      <c r="R1344" s="7"/>
      <c r="S1344" s="7"/>
      <c r="T1344" s="7"/>
      <c r="U1344" s="7"/>
      <c r="V1344" s="7"/>
      <c r="W1344" s="7"/>
      <c r="X1344" s="7">
        <v>3</v>
      </c>
      <c r="Y1344" s="7"/>
      <c r="Z1344" s="7"/>
      <c r="AA1344" s="7"/>
      <c r="AB1344" s="7">
        <f t="shared" si="104"/>
        <v>1</v>
      </c>
      <c r="AC1344" s="7">
        <f t="shared" si="101"/>
        <v>1</v>
      </c>
      <c r="AD1344" s="7"/>
      <c r="AE1344" s="7"/>
      <c r="AF1344" s="7"/>
      <c r="AG1344" s="7"/>
      <c r="AH1344" s="7"/>
      <c r="AI1344" s="7"/>
      <c r="AJ1344" s="7"/>
      <c r="AK1344" s="7"/>
      <c r="AL1344" s="9"/>
      <c r="AM1344" s="7" t="s">
        <v>71</v>
      </c>
      <c r="AN1344" s="7" t="s">
        <v>71</v>
      </c>
      <c r="AO1344" s="12"/>
    </row>
    <row r="1345" spans="1:41" s="11" customFormat="1" x14ac:dyDescent="0.25">
      <c r="A1345" s="2">
        <v>1344</v>
      </c>
      <c r="B1345" s="7" t="s">
        <v>547</v>
      </c>
      <c r="C1345" s="7" t="s">
        <v>50</v>
      </c>
      <c r="D1345" s="7">
        <v>125</v>
      </c>
      <c r="E1345" s="7">
        <v>125</v>
      </c>
      <c r="F1345" s="8">
        <v>1</v>
      </c>
      <c r="G1345" s="8">
        <v>1</v>
      </c>
      <c r="H1345" s="7">
        <v>1</v>
      </c>
      <c r="I1345" s="7">
        <v>1</v>
      </c>
      <c r="J1345" s="9" t="s">
        <v>219</v>
      </c>
      <c r="K1345" s="7">
        <v>1</v>
      </c>
      <c r="L1345" s="7" t="s">
        <v>52</v>
      </c>
      <c r="M1345" s="7">
        <f t="shared" si="100"/>
        <v>1</v>
      </c>
      <c r="N1345" s="9" t="s">
        <v>34</v>
      </c>
      <c r="O1345" s="7">
        <v>0</v>
      </c>
      <c r="P1345" s="9" t="s">
        <v>34</v>
      </c>
      <c r="Q1345" s="7" t="s">
        <v>38</v>
      </c>
      <c r="R1345" s="7" t="s">
        <v>38</v>
      </c>
      <c r="S1345" s="10" t="s">
        <v>2164</v>
      </c>
      <c r="T1345" s="7"/>
      <c r="U1345" s="7"/>
      <c r="V1345" s="7"/>
      <c r="W1345" s="7"/>
      <c r="X1345" s="7"/>
      <c r="Y1345" s="7">
        <v>10</v>
      </c>
      <c r="Z1345" s="7">
        <v>10</v>
      </c>
      <c r="AA1345" s="7">
        <v>180</v>
      </c>
      <c r="AB1345" s="7">
        <f t="shared" si="104"/>
        <v>3.3333333333333335</v>
      </c>
      <c r="AC1345" s="7">
        <f t="shared" si="101"/>
        <v>3.3333333333333335</v>
      </c>
      <c r="AD1345" s="7"/>
      <c r="AE1345" s="7"/>
      <c r="AF1345" s="7"/>
      <c r="AG1345" s="7"/>
      <c r="AH1345" s="7"/>
      <c r="AI1345" s="7"/>
      <c r="AJ1345" s="10" t="s">
        <v>2405</v>
      </c>
      <c r="AK1345" s="7"/>
      <c r="AL1345" s="9"/>
      <c r="AM1345" s="7" t="s">
        <v>71</v>
      </c>
      <c r="AN1345" s="7" t="s">
        <v>71</v>
      </c>
      <c r="AO1345" s="12"/>
    </row>
    <row r="1346" spans="1:41" s="11" customFormat="1" x14ac:dyDescent="0.25">
      <c r="A1346" s="2">
        <v>1345</v>
      </c>
      <c r="B1346" s="7" t="s">
        <v>547</v>
      </c>
      <c r="C1346" s="7" t="s">
        <v>50</v>
      </c>
      <c r="D1346" s="7">
        <v>23</v>
      </c>
      <c r="E1346" s="7">
        <v>23</v>
      </c>
      <c r="F1346" s="8">
        <v>1</v>
      </c>
      <c r="G1346" s="8">
        <v>1</v>
      </c>
      <c r="H1346" s="7">
        <v>1</v>
      </c>
      <c r="I1346" s="7">
        <v>1</v>
      </c>
      <c r="J1346" s="9" t="s">
        <v>219</v>
      </c>
      <c r="K1346" s="7">
        <v>1</v>
      </c>
      <c r="L1346" s="7" t="s">
        <v>52</v>
      </c>
      <c r="M1346" s="7">
        <f t="shared" ref="M1346:M1409" si="105">IF(L1346="n",F1346,0)</f>
        <v>1</v>
      </c>
      <c r="N1346" s="9" t="s">
        <v>34</v>
      </c>
      <c r="O1346" s="7">
        <v>0</v>
      </c>
      <c r="P1346" s="9" t="s">
        <v>37</v>
      </c>
      <c r="Q1346" s="7" t="s">
        <v>38</v>
      </c>
      <c r="R1346" s="7" t="s">
        <v>38</v>
      </c>
      <c r="S1346" s="7"/>
      <c r="T1346" s="7"/>
      <c r="U1346" s="7"/>
      <c r="V1346" s="7"/>
      <c r="W1346" s="7"/>
      <c r="X1346" s="7"/>
      <c r="Y1346" s="7">
        <v>11</v>
      </c>
      <c r="Z1346" s="7">
        <v>11</v>
      </c>
      <c r="AA1346" s="7">
        <v>130</v>
      </c>
      <c r="AB1346" s="7">
        <f t="shared" si="104"/>
        <v>3.6666666666666665</v>
      </c>
      <c r="AC1346" s="7">
        <f t="shared" ref="AC1346:AC1409" si="106">IF(L1346="n",AB1346,0)</f>
        <v>3.6666666666666665</v>
      </c>
      <c r="AD1346" s="7"/>
      <c r="AE1346" s="7"/>
      <c r="AF1346" s="7"/>
      <c r="AG1346" s="7"/>
      <c r="AH1346" s="7"/>
      <c r="AI1346" s="7"/>
      <c r="AJ1346" s="7"/>
      <c r="AK1346" s="7"/>
      <c r="AL1346" s="9"/>
      <c r="AM1346" s="7" t="s">
        <v>71</v>
      </c>
      <c r="AN1346" s="7" t="s">
        <v>71</v>
      </c>
      <c r="AO1346" s="12"/>
    </row>
    <row r="1347" spans="1:41" s="11" customFormat="1" x14ac:dyDescent="0.25">
      <c r="A1347" s="2">
        <v>1346</v>
      </c>
      <c r="B1347" s="7" t="s">
        <v>547</v>
      </c>
      <c r="C1347" s="7" t="s">
        <v>104</v>
      </c>
      <c r="D1347" s="7">
        <v>112</v>
      </c>
      <c r="E1347" s="7">
        <v>112</v>
      </c>
      <c r="F1347" s="8">
        <v>1</v>
      </c>
      <c r="G1347" s="8">
        <v>1</v>
      </c>
      <c r="H1347" s="7">
        <v>1</v>
      </c>
      <c r="I1347" s="7">
        <v>1</v>
      </c>
      <c r="J1347" s="9" t="s">
        <v>219</v>
      </c>
      <c r="K1347" s="7">
        <v>1</v>
      </c>
      <c r="L1347" s="7" t="s">
        <v>52</v>
      </c>
      <c r="M1347" s="7">
        <f t="shared" si="105"/>
        <v>1</v>
      </c>
      <c r="N1347" s="9" t="s">
        <v>34</v>
      </c>
      <c r="O1347" s="7">
        <v>3</v>
      </c>
      <c r="P1347" s="9" t="s">
        <v>33</v>
      </c>
      <c r="Q1347" s="7" t="s">
        <v>38</v>
      </c>
      <c r="R1347" s="7" t="s">
        <v>38</v>
      </c>
      <c r="S1347" s="10" t="s">
        <v>1589</v>
      </c>
      <c r="T1347" s="7"/>
      <c r="U1347" s="7"/>
      <c r="V1347" s="7"/>
      <c r="W1347" s="7"/>
      <c r="X1347" s="7">
        <v>3</v>
      </c>
      <c r="Y1347" s="7"/>
      <c r="Z1347" s="7"/>
      <c r="AA1347" s="7"/>
      <c r="AB1347" s="7">
        <f t="shared" si="104"/>
        <v>1</v>
      </c>
      <c r="AC1347" s="7">
        <f t="shared" si="106"/>
        <v>1</v>
      </c>
      <c r="AD1347" s="7"/>
      <c r="AE1347" s="7">
        <v>1</v>
      </c>
      <c r="AF1347" s="7" t="s">
        <v>1135</v>
      </c>
      <c r="AG1347" s="7" t="s">
        <v>1136</v>
      </c>
      <c r="AH1347" s="7"/>
      <c r="AI1347" s="7"/>
      <c r="AJ1347" s="7"/>
      <c r="AK1347" s="7"/>
      <c r="AL1347" s="9"/>
      <c r="AM1347" s="7" t="s">
        <v>60</v>
      </c>
      <c r="AN1347" s="7" t="s">
        <v>2845</v>
      </c>
      <c r="AO1347" s="12"/>
    </row>
    <row r="1348" spans="1:41" s="11" customFormat="1" x14ac:dyDescent="0.25">
      <c r="A1348" s="2">
        <v>1347</v>
      </c>
      <c r="B1348" s="7" t="s">
        <v>547</v>
      </c>
      <c r="C1348" s="7" t="s">
        <v>89</v>
      </c>
      <c r="D1348" s="7" t="s">
        <v>386</v>
      </c>
      <c r="E1348" s="7">
        <v>8</v>
      </c>
      <c r="F1348" s="8">
        <v>4</v>
      </c>
      <c r="G1348" s="8">
        <v>3</v>
      </c>
      <c r="H1348" s="7" t="s">
        <v>97</v>
      </c>
      <c r="I1348" s="7">
        <v>3</v>
      </c>
      <c r="J1348" s="9" t="s">
        <v>176</v>
      </c>
      <c r="K1348" s="7">
        <v>3</v>
      </c>
      <c r="L1348" s="7" t="s">
        <v>52</v>
      </c>
      <c r="M1348" s="7">
        <f t="shared" si="105"/>
        <v>4</v>
      </c>
      <c r="N1348" s="9"/>
      <c r="O1348" s="7"/>
      <c r="P1348" s="9"/>
      <c r="Q1348" s="7"/>
      <c r="R1348" s="7"/>
      <c r="S1348" s="7"/>
      <c r="T1348" s="7"/>
      <c r="U1348" s="7"/>
      <c r="V1348" s="7"/>
      <c r="W1348" s="7"/>
      <c r="X1348" s="7">
        <v>3</v>
      </c>
      <c r="Y1348" s="7"/>
      <c r="Z1348" s="7"/>
      <c r="AA1348" s="7"/>
      <c r="AB1348" s="7">
        <f t="shared" si="104"/>
        <v>1</v>
      </c>
      <c r="AC1348" s="7">
        <f t="shared" si="106"/>
        <v>1</v>
      </c>
      <c r="AD1348" s="7"/>
      <c r="AE1348" s="7"/>
      <c r="AF1348" s="7"/>
      <c r="AG1348" s="7"/>
      <c r="AH1348" s="7"/>
      <c r="AI1348" s="7"/>
      <c r="AJ1348" s="7"/>
      <c r="AK1348" s="7"/>
      <c r="AL1348" s="9"/>
      <c r="AM1348" s="7" t="s">
        <v>71</v>
      </c>
      <c r="AN1348" s="7" t="s">
        <v>71</v>
      </c>
      <c r="AO1348" s="12"/>
    </row>
    <row r="1349" spans="1:41" s="11" customFormat="1" x14ac:dyDescent="0.25">
      <c r="A1349" s="2">
        <v>1348</v>
      </c>
      <c r="B1349" s="7" t="s">
        <v>1137</v>
      </c>
      <c r="C1349" s="7" t="s">
        <v>100</v>
      </c>
      <c r="D1349" s="7">
        <v>1</v>
      </c>
      <c r="E1349" s="7">
        <v>1</v>
      </c>
      <c r="F1349" s="8">
        <v>1</v>
      </c>
      <c r="G1349" s="8">
        <v>1</v>
      </c>
      <c r="H1349" s="7">
        <v>1</v>
      </c>
      <c r="I1349" s="7">
        <v>1</v>
      </c>
      <c r="J1349" s="9" t="s">
        <v>176</v>
      </c>
      <c r="K1349" s="7">
        <v>1</v>
      </c>
      <c r="L1349" s="7" t="s">
        <v>52</v>
      </c>
      <c r="M1349" s="7">
        <f t="shared" si="105"/>
        <v>1</v>
      </c>
      <c r="N1349" s="9"/>
      <c r="O1349" s="7"/>
      <c r="P1349" s="9"/>
      <c r="Q1349" s="7"/>
      <c r="R1349" s="7"/>
      <c r="S1349" s="7"/>
      <c r="T1349" s="7"/>
      <c r="U1349" s="7"/>
      <c r="V1349" s="7"/>
      <c r="W1349" s="7"/>
      <c r="X1349" s="7">
        <v>3</v>
      </c>
      <c r="Y1349" s="7"/>
      <c r="Z1349" s="7"/>
      <c r="AA1349" s="7"/>
      <c r="AB1349" s="7">
        <f t="shared" si="104"/>
        <v>1</v>
      </c>
      <c r="AC1349" s="7">
        <f t="shared" si="106"/>
        <v>1</v>
      </c>
      <c r="AD1349" s="7"/>
      <c r="AE1349" s="7"/>
      <c r="AF1349" s="7"/>
      <c r="AG1349" s="7"/>
      <c r="AH1349" s="7"/>
      <c r="AI1349" s="7"/>
      <c r="AJ1349" s="7"/>
      <c r="AK1349" s="7"/>
      <c r="AL1349" s="9"/>
      <c r="AM1349" s="7" t="s">
        <v>71</v>
      </c>
      <c r="AN1349" s="7" t="s">
        <v>71</v>
      </c>
      <c r="AO1349" s="12"/>
    </row>
    <row r="1350" spans="1:41" s="11" customFormat="1" x14ac:dyDescent="0.25">
      <c r="A1350" s="2">
        <v>1349</v>
      </c>
      <c r="B1350" s="7" t="s">
        <v>547</v>
      </c>
      <c r="C1350" s="7" t="s">
        <v>577</v>
      </c>
      <c r="D1350" s="7">
        <f>954-41</f>
        <v>913</v>
      </c>
      <c r="E1350" s="7">
        <f>954-41</f>
        <v>913</v>
      </c>
      <c r="F1350" s="8">
        <v>26</v>
      </c>
      <c r="G1350" s="8">
        <v>29</v>
      </c>
      <c r="H1350" s="7" t="s">
        <v>1138</v>
      </c>
      <c r="I1350" s="7">
        <v>29</v>
      </c>
      <c r="J1350" s="9" t="s">
        <v>639</v>
      </c>
      <c r="K1350" s="7"/>
      <c r="L1350" s="7" t="s">
        <v>38</v>
      </c>
      <c r="M1350" s="7">
        <f t="shared" si="105"/>
        <v>0</v>
      </c>
      <c r="N1350" s="9"/>
      <c r="O1350" s="7"/>
      <c r="P1350" s="9"/>
      <c r="Q1350" s="7"/>
      <c r="R1350" s="7"/>
      <c r="S1350" s="7"/>
      <c r="T1350" s="7"/>
      <c r="U1350" s="7"/>
      <c r="V1350" s="7"/>
      <c r="W1350" s="7"/>
      <c r="X1350" s="7"/>
      <c r="Y1350" s="7"/>
      <c r="Z1350" s="7"/>
      <c r="AA1350" s="7"/>
      <c r="AB1350" s="7">
        <v>0.33333333333333298</v>
      </c>
      <c r="AC1350" s="7">
        <f t="shared" si="106"/>
        <v>0</v>
      </c>
      <c r="AD1350" s="7"/>
      <c r="AE1350" s="7"/>
      <c r="AF1350" s="7"/>
      <c r="AG1350" s="7"/>
      <c r="AH1350" s="7"/>
      <c r="AI1350" s="7"/>
      <c r="AJ1350" s="7"/>
      <c r="AK1350" s="7"/>
      <c r="AL1350" s="9"/>
      <c r="AM1350" s="7"/>
      <c r="AN1350" s="7"/>
      <c r="AO1350" s="15" t="s">
        <v>2695</v>
      </c>
    </row>
    <row r="1351" spans="1:41" s="11" customFormat="1" x14ac:dyDescent="0.25">
      <c r="A1351" s="2">
        <v>1350</v>
      </c>
      <c r="B1351" s="7" t="s">
        <v>547</v>
      </c>
      <c r="C1351" s="7" t="s">
        <v>100</v>
      </c>
      <c r="D1351" s="7">
        <v>8</v>
      </c>
      <c r="E1351" s="7">
        <v>8</v>
      </c>
      <c r="F1351" s="8">
        <v>1</v>
      </c>
      <c r="G1351" s="8">
        <v>1</v>
      </c>
      <c r="H1351" s="7">
        <v>1</v>
      </c>
      <c r="I1351" s="7">
        <v>1</v>
      </c>
      <c r="J1351" s="9" t="s">
        <v>1076</v>
      </c>
      <c r="K1351" s="7">
        <v>3</v>
      </c>
      <c r="L1351" s="7" t="s">
        <v>38</v>
      </c>
      <c r="M1351" s="7">
        <f t="shared" si="105"/>
        <v>0</v>
      </c>
      <c r="N1351" s="9"/>
      <c r="O1351" s="7"/>
      <c r="P1351" s="9"/>
      <c r="Q1351" s="7"/>
      <c r="R1351" s="7"/>
      <c r="S1351" s="7"/>
      <c r="T1351" s="7"/>
      <c r="U1351" s="7"/>
      <c r="V1351" s="7"/>
      <c r="W1351" s="7"/>
      <c r="X1351" s="7">
        <v>3</v>
      </c>
      <c r="Y1351" s="7"/>
      <c r="Z1351" s="7"/>
      <c r="AA1351" s="7"/>
      <c r="AB1351" s="7">
        <f>(U1351+X1351+Z1351)/3</f>
        <v>1</v>
      </c>
      <c r="AC1351" s="7">
        <f t="shared" si="106"/>
        <v>0</v>
      </c>
      <c r="AD1351" s="7"/>
      <c r="AE1351" s="7"/>
      <c r="AF1351" s="7"/>
      <c r="AG1351" s="7"/>
      <c r="AH1351" s="7"/>
      <c r="AI1351" s="7"/>
      <c r="AJ1351" s="7"/>
      <c r="AK1351" s="7"/>
      <c r="AL1351" s="9"/>
      <c r="AM1351" s="7" t="s">
        <v>71</v>
      </c>
      <c r="AN1351" s="7" t="s">
        <v>71</v>
      </c>
      <c r="AO1351" s="12"/>
    </row>
    <row r="1352" spans="1:41" s="11" customFormat="1" x14ac:dyDescent="0.25">
      <c r="A1352" s="2">
        <v>1351</v>
      </c>
      <c r="B1352" s="7" t="s">
        <v>1139</v>
      </c>
      <c r="C1352" s="7" t="s">
        <v>50</v>
      </c>
      <c r="D1352" s="7">
        <v>9</v>
      </c>
      <c r="E1352" s="7">
        <v>9</v>
      </c>
      <c r="F1352" s="8">
        <v>1</v>
      </c>
      <c r="G1352" s="8">
        <v>1</v>
      </c>
      <c r="H1352" s="7">
        <v>1</v>
      </c>
      <c r="I1352" s="7">
        <v>1</v>
      </c>
      <c r="J1352" s="9" t="s">
        <v>35</v>
      </c>
      <c r="K1352" s="7">
        <v>1</v>
      </c>
      <c r="L1352" s="7" t="s">
        <v>52</v>
      </c>
      <c r="M1352" s="7">
        <f t="shared" si="105"/>
        <v>1</v>
      </c>
      <c r="N1352" s="9" t="s">
        <v>36</v>
      </c>
      <c r="O1352" s="7">
        <v>0</v>
      </c>
      <c r="P1352" s="9" t="s">
        <v>63</v>
      </c>
      <c r="Q1352" s="7" t="s">
        <v>38</v>
      </c>
      <c r="R1352" s="7" t="s">
        <v>38</v>
      </c>
      <c r="S1352" s="10" t="s">
        <v>2165</v>
      </c>
      <c r="T1352" s="7"/>
      <c r="U1352" s="7"/>
      <c r="V1352" s="7"/>
      <c r="W1352" s="7"/>
      <c r="X1352" s="7"/>
      <c r="Y1352" s="7">
        <v>5</v>
      </c>
      <c r="Z1352" s="7">
        <v>5</v>
      </c>
      <c r="AA1352" s="7">
        <v>100</v>
      </c>
      <c r="AB1352" s="7">
        <f>(U1352+X1352+Z1352)/3</f>
        <v>1.6666666666666667</v>
      </c>
      <c r="AC1352" s="7">
        <f t="shared" si="106"/>
        <v>1.6666666666666667</v>
      </c>
      <c r="AD1352" s="7"/>
      <c r="AE1352" s="7"/>
      <c r="AF1352" s="7"/>
      <c r="AG1352" s="7"/>
      <c r="AH1352" s="7"/>
      <c r="AI1352" s="7"/>
      <c r="AJ1352" s="7"/>
      <c r="AK1352" s="7"/>
      <c r="AL1352" s="9"/>
      <c r="AM1352" s="7" t="s">
        <v>71</v>
      </c>
      <c r="AN1352" s="7" t="s">
        <v>71</v>
      </c>
      <c r="AO1352" s="12"/>
    </row>
    <row r="1353" spans="1:41" s="11" customFormat="1" x14ac:dyDescent="0.25">
      <c r="A1353" s="2">
        <v>1352</v>
      </c>
      <c r="B1353" s="7" t="s">
        <v>1139</v>
      </c>
      <c r="C1353" s="7" t="s">
        <v>50</v>
      </c>
      <c r="D1353" s="7">
        <v>22</v>
      </c>
      <c r="E1353" s="7">
        <v>22</v>
      </c>
      <c r="F1353" s="8">
        <v>1</v>
      </c>
      <c r="G1353" s="8">
        <v>1</v>
      </c>
      <c r="H1353" s="7">
        <v>1</v>
      </c>
      <c r="I1353" s="7">
        <v>1</v>
      </c>
      <c r="J1353" s="9" t="s">
        <v>35</v>
      </c>
      <c r="K1353" s="7">
        <v>1</v>
      </c>
      <c r="L1353" s="7" t="s">
        <v>52</v>
      </c>
      <c r="M1353" s="7">
        <f t="shared" si="105"/>
        <v>1</v>
      </c>
      <c r="N1353" s="9" t="s">
        <v>36</v>
      </c>
      <c r="O1353" s="7">
        <v>0</v>
      </c>
      <c r="P1353" s="9" t="s">
        <v>63</v>
      </c>
      <c r="Q1353" s="7" t="s">
        <v>38</v>
      </c>
      <c r="R1353" s="7" t="s">
        <v>38</v>
      </c>
      <c r="S1353" s="10" t="s">
        <v>2166</v>
      </c>
      <c r="T1353" s="7"/>
      <c r="U1353" s="7"/>
      <c r="V1353" s="7"/>
      <c r="W1353" s="7"/>
      <c r="X1353" s="7"/>
      <c r="Y1353" s="7">
        <v>15</v>
      </c>
      <c r="Z1353" s="7">
        <v>15</v>
      </c>
      <c r="AA1353" s="7">
        <v>80</v>
      </c>
      <c r="AB1353" s="7">
        <f>(U1353+X1353+Z1353)/3</f>
        <v>5</v>
      </c>
      <c r="AC1353" s="7">
        <f t="shared" si="106"/>
        <v>5</v>
      </c>
      <c r="AD1353" s="7"/>
      <c r="AE1353" s="7"/>
      <c r="AF1353" s="7"/>
      <c r="AG1353" s="7"/>
      <c r="AH1353" s="7"/>
      <c r="AI1353" s="7"/>
      <c r="AJ1353" s="7"/>
      <c r="AK1353" s="7"/>
      <c r="AL1353" s="9"/>
      <c r="AM1353" s="7" t="s">
        <v>71</v>
      </c>
      <c r="AN1353" s="7" t="s">
        <v>71</v>
      </c>
      <c r="AO1353" s="12"/>
    </row>
    <row r="1354" spans="1:41" s="11" customFormat="1" ht="24" x14ac:dyDescent="0.25">
      <c r="A1354" s="2">
        <v>1353</v>
      </c>
      <c r="B1354" s="7" t="s">
        <v>1139</v>
      </c>
      <c r="C1354" s="7" t="s">
        <v>104</v>
      </c>
      <c r="D1354" s="7">
        <v>14</v>
      </c>
      <c r="E1354" s="7">
        <v>14</v>
      </c>
      <c r="F1354" s="8">
        <v>1</v>
      </c>
      <c r="G1354" s="8">
        <v>1</v>
      </c>
      <c r="H1354" s="7">
        <v>1</v>
      </c>
      <c r="I1354" s="7">
        <v>1</v>
      </c>
      <c r="J1354" s="9" t="s">
        <v>35</v>
      </c>
      <c r="K1354" s="7">
        <v>1</v>
      </c>
      <c r="L1354" s="7" t="s">
        <v>52</v>
      </c>
      <c r="M1354" s="7">
        <f t="shared" si="105"/>
        <v>1</v>
      </c>
      <c r="N1354" s="9" t="s">
        <v>36</v>
      </c>
      <c r="O1354" s="7">
        <v>1</v>
      </c>
      <c r="P1354" s="9" t="s">
        <v>63</v>
      </c>
      <c r="Q1354" s="7" t="s">
        <v>38</v>
      </c>
      <c r="R1354" s="7" t="s">
        <v>38</v>
      </c>
      <c r="S1354" s="10" t="s">
        <v>1922</v>
      </c>
      <c r="T1354" s="7"/>
      <c r="U1354" s="7"/>
      <c r="V1354" s="7"/>
      <c r="W1354" s="7"/>
      <c r="X1354" s="7">
        <v>3</v>
      </c>
      <c r="Y1354" s="7"/>
      <c r="Z1354" s="7"/>
      <c r="AA1354" s="7"/>
      <c r="AB1354" s="7">
        <f>(U1354+X1354+Z1354)/3</f>
        <v>1</v>
      </c>
      <c r="AC1354" s="7">
        <f t="shared" si="106"/>
        <v>1</v>
      </c>
      <c r="AD1354" s="7"/>
      <c r="AE1354" s="7">
        <v>1</v>
      </c>
      <c r="AF1354" s="7" t="s">
        <v>40</v>
      </c>
      <c r="AG1354" s="7" t="s">
        <v>1140</v>
      </c>
      <c r="AH1354" s="7"/>
      <c r="AI1354" s="7"/>
      <c r="AJ1354" s="10" t="s">
        <v>2406</v>
      </c>
      <c r="AK1354" s="7"/>
      <c r="AL1354" s="9"/>
      <c r="AM1354" s="7" t="s">
        <v>71</v>
      </c>
      <c r="AN1354" s="7" t="s">
        <v>71</v>
      </c>
      <c r="AO1354" s="12"/>
    </row>
    <row r="1355" spans="1:41" s="11" customFormat="1" ht="24" x14ac:dyDescent="0.25">
      <c r="A1355" s="2">
        <v>1354</v>
      </c>
      <c r="B1355" s="7" t="s">
        <v>1139</v>
      </c>
      <c r="C1355" s="7" t="s">
        <v>78</v>
      </c>
      <c r="D1355" s="7">
        <v>1</v>
      </c>
      <c r="E1355" s="7">
        <v>1</v>
      </c>
      <c r="F1355" s="8">
        <v>1</v>
      </c>
      <c r="G1355" s="8">
        <v>1</v>
      </c>
      <c r="H1355" s="7">
        <v>1</v>
      </c>
      <c r="I1355" s="7">
        <v>1</v>
      </c>
      <c r="J1355" s="9" t="s">
        <v>70</v>
      </c>
      <c r="K1355" s="7">
        <v>1</v>
      </c>
      <c r="L1355" s="7" t="s">
        <v>52</v>
      </c>
      <c r="M1355" s="7">
        <f t="shared" si="105"/>
        <v>1</v>
      </c>
      <c r="N1355" s="9" t="s">
        <v>36</v>
      </c>
      <c r="O1355" s="7">
        <v>0</v>
      </c>
      <c r="P1355" s="9" t="s">
        <v>63</v>
      </c>
      <c r="Q1355" s="7" t="s">
        <v>38</v>
      </c>
      <c r="R1355" s="7" t="s">
        <v>38</v>
      </c>
      <c r="S1355" s="10" t="s">
        <v>1635</v>
      </c>
      <c r="T1355" s="7" t="s">
        <v>92</v>
      </c>
      <c r="U1355" s="7">
        <v>3</v>
      </c>
      <c r="V1355" s="7" t="s">
        <v>199</v>
      </c>
      <c r="W1355" s="7" t="s">
        <v>1141</v>
      </c>
      <c r="X1355" s="7"/>
      <c r="Y1355" s="7"/>
      <c r="Z1355" s="7"/>
      <c r="AA1355" s="7"/>
      <c r="AB1355" s="7">
        <f>(U1355+X1355+Z1355)/3</f>
        <v>1</v>
      </c>
      <c r="AC1355" s="7">
        <f t="shared" si="106"/>
        <v>1</v>
      </c>
      <c r="AD1355" s="7"/>
      <c r="AE1355" s="7"/>
      <c r="AF1355" s="7"/>
      <c r="AG1355" s="7"/>
      <c r="AH1355" s="7"/>
      <c r="AI1355" s="7"/>
      <c r="AJ1355" s="7"/>
      <c r="AK1355" s="7"/>
      <c r="AL1355" s="9"/>
      <c r="AM1355" s="7" t="s">
        <v>71</v>
      </c>
      <c r="AN1355" s="7" t="s">
        <v>71</v>
      </c>
      <c r="AO1355" s="12"/>
    </row>
    <row r="1356" spans="1:41" s="11" customFormat="1" x14ac:dyDescent="0.25">
      <c r="A1356" s="2">
        <v>1355</v>
      </c>
      <c r="B1356" s="7" t="s">
        <v>1139</v>
      </c>
      <c r="C1356" s="7" t="s">
        <v>119</v>
      </c>
      <c r="D1356" s="7">
        <v>4</v>
      </c>
      <c r="E1356" s="7">
        <v>4</v>
      </c>
      <c r="F1356" s="8">
        <v>1</v>
      </c>
      <c r="G1356" s="8">
        <v>1</v>
      </c>
      <c r="H1356" s="7">
        <v>1</v>
      </c>
      <c r="I1356" s="7">
        <v>1</v>
      </c>
      <c r="J1356" s="9" t="s">
        <v>35</v>
      </c>
      <c r="K1356" s="7">
        <v>2</v>
      </c>
      <c r="L1356" s="7" t="s">
        <v>52</v>
      </c>
      <c r="M1356" s="7">
        <f t="shared" si="105"/>
        <v>1</v>
      </c>
      <c r="N1356" s="9" t="s">
        <v>34</v>
      </c>
      <c r="O1356" s="7">
        <v>0</v>
      </c>
      <c r="P1356" s="9" t="s">
        <v>63</v>
      </c>
      <c r="Q1356" s="7"/>
      <c r="R1356" s="7" t="s">
        <v>38</v>
      </c>
      <c r="S1356" s="10" t="s">
        <v>2122</v>
      </c>
      <c r="T1356" s="7"/>
      <c r="U1356" s="7"/>
      <c r="V1356" s="7"/>
      <c r="W1356" s="7"/>
      <c r="X1356" s="7"/>
      <c r="Y1356" s="7"/>
      <c r="Z1356" s="7"/>
      <c r="AA1356" s="7"/>
      <c r="AB1356" s="7">
        <v>0.33333333333333298</v>
      </c>
      <c r="AC1356" s="7">
        <f t="shared" si="106"/>
        <v>0.33333333333333298</v>
      </c>
      <c r="AD1356" s="7">
        <v>1</v>
      </c>
      <c r="AE1356" s="7"/>
      <c r="AF1356" s="7" t="s">
        <v>40</v>
      </c>
      <c r="AG1356" s="7" t="s">
        <v>138</v>
      </c>
      <c r="AH1356" s="7"/>
      <c r="AI1356" s="7"/>
      <c r="AJ1356" s="7"/>
      <c r="AK1356" s="7"/>
      <c r="AL1356" s="9"/>
      <c r="AM1356" s="7" t="s">
        <v>71</v>
      </c>
      <c r="AN1356" s="7" t="s">
        <v>71</v>
      </c>
      <c r="AO1356" s="12"/>
    </row>
    <row r="1357" spans="1:41" s="11" customFormat="1" x14ac:dyDescent="0.25">
      <c r="A1357" s="2">
        <v>1356</v>
      </c>
      <c r="B1357" s="7" t="s">
        <v>1139</v>
      </c>
      <c r="C1357" s="7" t="s">
        <v>119</v>
      </c>
      <c r="D1357" s="7">
        <v>1</v>
      </c>
      <c r="E1357" s="7">
        <v>1</v>
      </c>
      <c r="F1357" s="8">
        <v>1</v>
      </c>
      <c r="G1357" s="8">
        <v>1</v>
      </c>
      <c r="H1357" s="7">
        <v>1</v>
      </c>
      <c r="I1357" s="7">
        <v>1</v>
      </c>
      <c r="J1357" s="9" t="s">
        <v>70</v>
      </c>
      <c r="K1357" s="7">
        <v>1</v>
      </c>
      <c r="L1357" s="7" t="s">
        <v>52</v>
      </c>
      <c r="M1357" s="7">
        <f t="shared" si="105"/>
        <v>1</v>
      </c>
      <c r="N1357" s="9" t="s">
        <v>36</v>
      </c>
      <c r="O1357" s="7">
        <v>0</v>
      </c>
      <c r="P1357" s="9" t="s">
        <v>63</v>
      </c>
      <c r="Q1357" s="7"/>
      <c r="R1357" s="7" t="s">
        <v>38</v>
      </c>
      <c r="S1357" s="10" t="s">
        <v>2167</v>
      </c>
      <c r="T1357" s="7"/>
      <c r="U1357" s="7"/>
      <c r="V1357" s="7"/>
      <c r="W1357" s="7"/>
      <c r="X1357" s="7"/>
      <c r="Y1357" s="7"/>
      <c r="Z1357" s="7"/>
      <c r="AA1357" s="7"/>
      <c r="AB1357" s="7">
        <v>0.33333333333333298</v>
      </c>
      <c r="AC1357" s="7">
        <f t="shared" si="106"/>
        <v>0.33333333333333298</v>
      </c>
      <c r="AD1357" s="7">
        <v>1</v>
      </c>
      <c r="AE1357" s="7"/>
      <c r="AF1357" s="7" t="s">
        <v>40</v>
      </c>
      <c r="AG1357" s="7" t="s">
        <v>1142</v>
      </c>
      <c r="AH1357" s="7"/>
      <c r="AI1357" s="7"/>
      <c r="AJ1357" s="7"/>
      <c r="AK1357" s="7"/>
      <c r="AL1357" s="9"/>
      <c r="AM1357" s="7" t="s">
        <v>71</v>
      </c>
      <c r="AN1357" s="7" t="s">
        <v>71</v>
      </c>
      <c r="AO1357" s="12"/>
    </row>
    <row r="1358" spans="1:41" s="11" customFormat="1" x14ac:dyDescent="0.25">
      <c r="A1358" s="2">
        <v>1357</v>
      </c>
      <c r="B1358" s="7" t="s">
        <v>1139</v>
      </c>
      <c r="C1358" s="7" t="s">
        <v>89</v>
      </c>
      <c r="D1358" s="7" t="s">
        <v>1143</v>
      </c>
      <c r="E1358" s="7">
        <f>38+8+2+7</f>
        <v>55</v>
      </c>
      <c r="F1358" s="8">
        <v>8</v>
      </c>
      <c r="G1358" s="8">
        <v>11</v>
      </c>
      <c r="H1358" s="7" t="s">
        <v>752</v>
      </c>
      <c r="I1358" s="7">
        <v>11</v>
      </c>
      <c r="J1358" s="9" t="s">
        <v>35</v>
      </c>
      <c r="K1358" s="7">
        <v>1</v>
      </c>
      <c r="L1358" s="7" t="s">
        <v>52</v>
      </c>
      <c r="M1358" s="7">
        <f t="shared" si="105"/>
        <v>8</v>
      </c>
      <c r="N1358" s="9"/>
      <c r="O1358" s="7"/>
      <c r="P1358" s="9"/>
      <c r="Q1358" s="7"/>
      <c r="R1358" s="7"/>
      <c r="S1358" s="7"/>
      <c r="T1358" s="7"/>
      <c r="U1358" s="7"/>
      <c r="V1358" s="7"/>
      <c r="W1358" s="7"/>
      <c r="X1358" s="7">
        <v>3</v>
      </c>
      <c r="Y1358" s="7"/>
      <c r="Z1358" s="7"/>
      <c r="AA1358" s="7"/>
      <c r="AB1358" s="7">
        <f t="shared" ref="AB1358:AB1365" si="107">(U1358+X1358+Z1358)/3</f>
        <v>1</v>
      </c>
      <c r="AC1358" s="7">
        <f t="shared" si="106"/>
        <v>1</v>
      </c>
      <c r="AD1358" s="7"/>
      <c r="AE1358" s="7"/>
      <c r="AF1358" s="7"/>
      <c r="AG1358" s="7"/>
      <c r="AH1358" s="7"/>
      <c r="AI1358" s="7"/>
      <c r="AJ1358" s="7"/>
      <c r="AK1358" s="7"/>
      <c r="AL1358" s="9"/>
      <c r="AM1358" s="7" t="s">
        <v>71</v>
      </c>
      <c r="AN1358" s="7" t="s">
        <v>71</v>
      </c>
      <c r="AO1358" s="12"/>
    </row>
    <row r="1359" spans="1:41" s="11" customFormat="1" x14ac:dyDescent="0.25">
      <c r="A1359" s="2">
        <v>1358</v>
      </c>
      <c r="B1359" s="7" t="s">
        <v>1139</v>
      </c>
      <c r="C1359" s="7" t="s">
        <v>78</v>
      </c>
      <c r="D1359" s="7">
        <v>2</v>
      </c>
      <c r="E1359" s="7">
        <v>2</v>
      </c>
      <c r="F1359" s="8">
        <v>1</v>
      </c>
      <c r="G1359" s="8">
        <v>1</v>
      </c>
      <c r="H1359" s="7">
        <v>1</v>
      </c>
      <c r="I1359" s="7">
        <v>1</v>
      </c>
      <c r="J1359" s="9" t="s">
        <v>35</v>
      </c>
      <c r="K1359" s="7">
        <v>2</v>
      </c>
      <c r="L1359" s="7" t="s">
        <v>52</v>
      </c>
      <c r="M1359" s="7">
        <f t="shared" si="105"/>
        <v>1</v>
      </c>
      <c r="N1359" s="9" t="s">
        <v>34</v>
      </c>
      <c r="O1359" s="7">
        <v>1</v>
      </c>
      <c r="P1359" s="9" t="s">
        <v>63</v>
      </c>
      <c r="Q1359" s="7" t="s">
        <v>38</v>
      </c>
      <c r="R1359" s="7" t="s">
        <v>38</v>
      </c>
      <c r="S1359" s="10" t="s">
        <v>2168</v>
      </c>
      <c r="T1359" s="7">
        <v>5</v>
      </c>
      <c r="U1359" s="7">
        <v>5</v>
      </c>
      <c r="V1359" s="7">
        <v>120</v>
      </c>
      <c r="W1359" s="7" t="s">
        <v>88</v>
      </c>
      <c r="X1359" s="7"/>
      <c r="Y1359" s="7"/>
      <c r="Z1359" s="7"/>
      <c r="AA1359" s="7"/>
      <c r="AB1359" s="7">
        <f t="shared" si="107"/>
        <v>1.6666666666666667</v>
      </c>
      <c r="AC1359" s="7">
        <f t="shared" si="106"/>
        <v>1.6666666666666667</v>
      </c>
      <c r="AD1359" s="7"/>
      <c r="AE1359" s="7"/>
      <c r="AF1359" s="7"/>
      <c r="AG1359" s="7"/>
      <c r="AH1359" s="7"/>
      <c r="AI1359" s="7"/>
      <c r="AJ1359" s="7"/>
      <c r="AK1359" s="7"/>
      <c r="AL1359" s="9"/>
      <c r="AM1359" s="7" t="s">
        <v>71</v>
      </c>
      <c r="AN1359" s="7" t="s">
        <v>71</v>
      </c>
      <c r="AO1359" s="12"/>
    </row>
    <row r="1360" spans="1:41" s="11" customFormat="1" x14ac:dyDescent="0.25">
      <c r="A1360" s="2">
        <v>1359</v>
      </c>
      <c r="B1360" s="7" t="s">
        <v>1139</v>
      </c>
      <c r="C1360" s="7" t="s">
        <v>89</v>
      </c>
      <c r="D1360" s="7" t="s">
        <v>146</v>
      </c>
      <c r="E1360" s="7">
        <v>5</v>
      </c>
      <c r="F1360" s="8">
        <v>2</v>
      </c>
      <c r="G1360" s="8">
        <v>2</v>
      </c>
      <c r="H1360" s="7" t="s">
        <v>87</v>
      </c>
      <c r="I1360" s="7">
        <v>2</v>
      </c>
      <c r="J1360" s="9" t="s">
        <v>35</v>
      </c>
      <c r="K1360" s="7">
        <v>2</v>
      </c>
      <c r="L1360" s="7" t="s">
        <v>52</v>
      </c>
      <c r="M1360" s="7">
        <f t="shared" si="105"/>
        <v>2</v>
      </c>
      <c r="N1360" s="9"/>
      <c r="O1360" s="7"/>
      <c r="P1360" s="9"/>
      <c r="Q1360" s="7"/>
      <c r="R1360" s="7"/>
      <c r="S1360" s="7"/>
      <c r="T1360" s="7"/>
      <c r="U1360" s="7"/>
      <c r="V1360" s="7"/>
      <c r="W1360" s="7"/>
      <c r="X1360" s="7">
        <v>3</v>
      </c>
      <c r="Y1360" s="7"/>
      <c r="Z1360" s="7"/>
      <c r="AA1360" s="7"/>
      <c r="AB1360" s="7">
        <f t="shared" si="107"/>
        <v>1</v>
      </c>
      <c r="AC1360" s="7">
        <f t="shared" si="106"/>
        <v>1</v>
      </c>
      <c r="AD1360" s="7"/>
      <c r="AE1360" s="7"/>
      <c r="AF1360" s="7"/>
      <c r="AG1360" s="7"/>
      <c r="AH1360" s="7"/>
      <c r="AI1360" s="7"/>
      <c r="AJ1360" s="7"/>
      <c r="AK1360" s="7"/>
      <c r="AL1360" s="9"/>
      <c r="AM1360" s="7" t="s">
        <v>71</v>
      </c>
      <c r="AN1360" s="7" t="s">
        <v>71</v>
      </c>
      <c r="AO1360" s="12"/>
    </row>
    <row r="1361" spans="1:41" s="11" customFormat="1" ht="24" x14ac:dyDescent="0.25">
      <c r="A1361" s="2">
        <v>1360</v>
      </c>
      <c r="B1361" s="7" t="s">
        <v>1139</v>
      </c>
      <c r="C1361" s="7" t="s">
        <v>309</v>
      </c>
      <c r="D1361" s="7" t="s">
        <v>1144</v>
      </c>
      <c r="E1361" s="7">
        <f>53+42+44+27+12+12+8+8</f>
        <v>206</v>
      </c>
      <c r="F1361" s="8">
        <v>1</v>
      </c>
      <c r="G1361" s="8">
        <v>27</v>
      </c>
      <c r="H1361" s="7" t="s">
        <v>1145</v>
      </c>
      <c r="I1361" s="7">
        <v>27</v>
      </c>
      <c r="J1361" s="9" t="s">
        <v>219</v>
      </c>
      <c r="K1361" s="7">
        <v>1</v>
      </c>
      <c r="L1361" s="7" t="s">
        <v>52</v>
      </c>
      <c r="M1361" s="7">
        <f t="shared" si="105"/>
        <v>1</v>
      </c>
      <c r="N1361" s="9" t="s">
        <v>37</v>
      </c>
      <c r="O1361" s="7">
        <v>3</v>
      </c>
      <c r="P1361" s="9" t="s">
        <v>63</v>
      </c>
      <c r="Q1361" s="7" t="s">
        <v>38</v>
      </c>
      <c r="R1361" s="7" t="s">
        <v>38</v>
      </c>
      <c r="S1361" s="10" t="s">
        <v>2169</v>
      </c>
      <c r="T1361" s="7"/>
      <c r="U1361" s="7"/>
      <c r="V1361" s="7"/>
      <c r="W1361" s="7"/>
      <c r="X1361" s="7">
        <v>5</v>
      </c>
      <c r="Y1361" s="7"/>
      <c r="Z1361" s="7"/>
      <c r="AA1361" s="7"/>
      <c r="AB1361" s="7">
        <f t="shared" si="107"/>
        <v>1.6666666666666667</v>
      </c>
      <c r="AC1361" s="7">
        <f t="shared" si="106"/>
        <v>1.6666666666666667</v>
      </c>
      <c r="AD1361" s="7"/>
      <c r="AE1361" s="7">
        <v>1</v>
      </c>
      <c r="AF1361" s="7" t="s">
        <v>40</v>
      </c>
      <c r="AG1361" s="7" t="s">
        <v>120</v>
      </c>
      <c r="AH1361" s="7"/>
      <c r="AI1361" s="7"/>
      <c r="AJ1361" s="7"/>
      <c r="AK1361" s="7"/>
      <c r="AL1361" s="9"/>
      <c r="AM1361" s="7" t="s">
        <v>567</v>
      </c>
      <c r="AN1361" s="7" t="s">
        <v>71</v>
      </c>
      <c r="AO1361" s="15" t="s">
        <v>2696</v>
      </c>
    </row>
    <row r="1362" spans="1:41" s="11" customFormat="1" ht="24" x14ac:dyDescent="0.25">
      <c r="A1362" s="2">
        <v>1361</v>
      </c>
      <c r="B1362" s="7" t="s">
        <v>1139</v>
      </c>
      <c r="C1362" s="7" t="s">
        <v>78</v>
      </c>
      <c r="D1362" s="7">
        <v>50</v>
      </c>
      <c r="E1362" s="7">
        <v>50</v>
      </c>
      <c r="F1362" s="8">
        <v>1</v>
      </c>
      <c r="G1362" s="8">
        <v>1</v>
      </c>
      <c r="H1362" s="7">
        <v>1</v>
      </c>
      <c r="I1362" s="7">
        <v>1</v>
      </c>
      <c r="J1362" s="9" t="s">
        <v>219</v>
      </c>
      <c r="K1362" s="7">
        <v>5</v>
      </c>
      <c r="L1362" s="7" t="s">
        <v>52</v>
      </c>
      <c r="M1362" s="7">
        <f t="shared" si="105"/>
        <v>1</v>
      </c>
      <c r="N1362" s="9" t="s">
        <v>36</v>
      </c>
      <c r="O1362" s="7">
        <v>0</v>
      </c>
      <c r="P1362" s="9" t="s">
        <v>34</v>
      </c>
      <c r="Q1362" s="7" t="s">
        <v>38</v>
      </c>
      <c r="R1362" s="7" t="s">
        <v>38</v>
      </c>
      <c r="S1362" s="10" t="s">
        <v>2170</v>
      </c>
      <c r="T1362" s="7">
        <v>5</v>
      </c>
      <c r="U1362" s="7">
        <v>5</v>
      </c>
      <c r="V1362" s="7">
        <v>150</v>
      </c>
      <c r="W1362" s="7" t="s">
        <v>239</v>
      </c>
      <c r="X1362" s="7"/>
      <c r="Y1362" s="7"/>
      <c r="Z1362" s="7"/>
      <c r="AA1362" s="7"/>
      <c r="AB1362" s="7">
        <f t="shared" si="107"/>
        <v>1.6666666666666667</v>
      </c>
      <c r="AC1362" s="7">
        <f t="shared" si="106"/>
        <v>1.6666666666666667</v>
      </c>
      <c r="AD1362" s="7"/>
      <c r="AE1362" s="7">
        <v>1</v>
      </c>
      <c r="AF1362" s="7" t="s">
        <v>155</v>
      </c>
      <c r="AG1362" s="7"/>
      <c r="AH1362" s="7"/>
      <c r="AI1362" s="7"/>
      <c r="AJ1362" s="7"/>
      <c r="AK1362" s="7"/>
      <c r="AL1362" s="9"/>
      <c r="AM1362" s="7" t="s">
        <v>961</v>
      </c>
      <c r="AN1362" s="7" t="s">
        <v>71</v>
      </c>
      <c r="AO1362" s="12"/>
    </row>
    <row r="1363" spans="1:41" s="11" customFormat="1" x14ac:dyDescent="0.25">
      <c r="A1363" s="2">
        <v>1362</v>
      </c>
      <c r="B1363" s="7" t="s">
        <v>1139</v>
      </c>
      <c r="C1363" s="7" t="s">
        <v>100</v>
      </c>
      <c r="D1363" s="7">
        <v>6</v>
      </c>
      <c r="E1363" s="7">
        <v>6</v>
      </c>
      <c r="F1363" s="8">
        <v>1</v>
      </c>
      <c r="G1363" s="8">
        <v>1</v>
      </c>
      <c r="H1363" s="7">
        <v>1</v>
      </c>
      <c r="I1363" s="7">
        <v>1</v>
      </c>
      <c r="J1363" s="9" t="s">
        <v>219</v>
      </c>
      <c r="K1363" s="7">
        <v>5</v>
      </c>
      <c r="L1363" s="7" t="s">
        <v>52</v>
      </c>
      <c r="M1363" s="7">
        <f t="shared" si="105"/>
        <v>1</v>
      </c>
      <c r="N1363" s="9"/>
      <c r="O1363" s="7"/>
      <c r="P1363" s="9"/>
      <c r="Q1363" s="7"/>
      <c r="R1363" s="7"/>
      <c r="S1363" s="7"/>
      <c r="T1363" s="7"/>
      <c r="U1363" s="7"/>
      <c r="V1363" s="7"/>
      <c r="W1363" s="7"/>
      <c r="X1363" s="7">
        <v>3</v>
      </c>
      <c r="Y1363" s="7"/>
      <c r="Z1363" s="7"/>
      <c r="AA1363" s="7"/>
      <c r="AB1363" s="7">
        <f t="shared" si="107"/>
        <v>1</v>
      </c>
      <c r="AC1363" s="7">
        <f t="shared" si="106"/>
        <v>1</v>
      </c>
      <c r="AD1363" s="7"/>
      <c r="AE1363" s="7"/>
      <c r="AF1363" s="7"/>
      <c r="AG1363" s="7"/>
      <c r="AH1363" s="7"/>
      <c r="AI1363" s="7"/>
      <c r="AJ1363" s="7"/>
      <c r="AK1363" s="7"/>
      <c r="AL1363" s="9"/>
      <c r="AM1363" s="7" t="s">
        <v>71</v>
      </c>
      <c r="AN1363" s="7" t="s">
        <v>71</v>
      </c>
      <c r="AO1363" s="12"/>
    </row>
    <row r="1364" spans="1:41" s="11" customFormat="1" x14ac:dyDescent="0.25">
      <c r="A1364" s="2">
        <v>1363</v>
      </c>
      <c r="B1364" s="7" t="s">
        <v>1139</v>
      </c>
      <c r="C1364" s="7" t="s">
        <v>100</v>
      </c>
      <c r="D1364" s="7">
        <v>7</v>
      </c>
      <c r="E1364" s="7">
        <v>7</v>
      </c>
      <c r="F1364" s="8">
        <v>1</v>
      </c>
      <c r="G1364" s="8">
        <v>1</v>
      </c>
      <c r="H1364" s="7">
        <v>1</v>
      </c>
      <c r="I1364" s="7">
        <v>1</v>
      </c>
      <c r="J1364" s="9" t="s">
        <v>176</v>
      </c>
      <c r="K1364" s="7">
        <v>6</v>
      </c>
      <c r="L1364" s="7" t="s">
        <v>52</v>
      </c>
      <c r="M1364" s="7">
        <f t="shared" si="105"/>
        <v>1</v>
      </c>
      <c r="N1364" s="9"/>
      <c r="O1364" s="7"/>
      <c r="P1364" s="9"/>
      <c r="Q1364" s="7"/>
      <c r="R1364" s="7"/>
      <c r="S1364" s="7"/>
      <c r="T1364" s="7"/>
      <c r="U1364" s="7"/>
      <c r="V1364" s="7"/>
      <c r="W1364" s="7"/>
      <c r="X1364" s="7">
        <v>3</v>
      </c>
      <c r="Y1364" s="7"/>
      <c r="Z1364" s="7"/>
      <c r="AA1364" s="7"/>
      <c r="AB1364" s="7">
        <f t="shared" si="107"/>
        <v>1</v>
      </c>
      <c r="AC1364" s="7">
        <f t="shared" si="106"/>
        <v>1</v>
      </c>
      <c r="AD1364" s="7"/>
      <c r="AE1364" s="7"/>
      <c r="AF1364" s="7"/>
      <c r="AG1364" s="7"/>
      <c r="AH1364" s="7"/>
      <c r="AI1364" s="7"/>
      <c r="AJ1364" s="7"/>
      <c r="AK1364" s="7"/>
      <c r="AL1364" s="9"/>
      <c r="AM1364" s="7" t="s">
        <v>71</v>
      </c>
      <c r="AN1364" s="7" t="s">
        <v>71</v>
      </c>
      <c r="AO1364" s="12"/>
    </row>
    <row r="1365" spans="1:41" s="11" customFormat="1" ht="24" x14ac:dyDescent="0.25">
      <c r="A1365" s="2">
        <v>1364</v>
      </c>
      <c r="B1365" s="7" t="s">
        <v>1139</v>
      </c>
      <c r="C1365" s="7" t="s">
        <v>50</v>
      </c>
      <c r="D1365" s="7">
        <v>11</v>
      </c>
      <c r="E1365" s="7">
        <v>11</v>
      </c>
      <c r="F1365" s="8">
        <v>1</v>
      </c>
      <c r="G1365" s="8">
        <v>1</v>
      </c>
      <c r="H1365" s="7">
        <v>1</v>
      </c>
      <c r="I1365" s="7">
        <v>1</v>
      </c>
      <c r="J1365" s="9" t="s">
        <v>176</v>
      </c>
      <c r="K1365" s="7">
        <v>1</v>
      </c>
      <c r="L1365" s="7" t="s">
        <v>52</v>
      </c>
      <c r="M1365" s="7">
        <f t="shared" si="105"/>
        <v>1</v>
      </c>
      <c r="N1365" s="9" t="s">
        <v>177</v>
      </c>
      <c r="O1365" s="7">
        <v>0</v>
      </c>
      <c r="P1365" s="9" t="s">
        <v>63</v>
      </c>
      <c r="Q1365" s="7" t="s">
        <v>38</v>
      </c>
      <c r="R1365" s="7" t="s">
        <v>38</v>
      </c>
      <c r="S1365" s="10" t="s">
        <v>2171</v>
      </c>
      <c r="T1365" s="7"/>
      <c r="U1365" s="7"/>
      <c r="V1365" s="7"/>
      <c r="W1365" s="7"/>
      <c r="X1365" s="7"/>
      <c r="Y1365" s="7">
        <v>20</v>
      </c>
      <c r="Z1365" s="7">
        <v>20</v>
      </c>
      <c r="AA1365" s="7">
        <v>60</v>
      </c>
      <c r="AB1365" s="7">
        <f t="shared" si="107"/>
        <v>6.666666666666667</v>
      </c>
      <c r="AC1365" s="7">
        <f t="shared" si="106"/>
        <v>6.666666666666667</v>
      </c>
      <c r="AD1365" s="7"/>
      <c r="AE1365" s="7"/>
      <c r="AF1365" s="7"/>
      <c r="AG1365" s="7"/>
      <c r="AH1365" s="7"/>
      <c r="AI1365" s="7"/>
      <c r="AJ1365" s="7"/>
      <c r="AK1365" s="7"/>
      <c r="AL1365" s="9"/>
      <c r="AM1365" s="7" t="s">
        <v>71</v>
      </c>
      <c r="AN1365" s="7" t="s">
        <v>71</v>
      </c>
      <c r="AO1365" s="12"/>
    </row>
    <row r="1366" spans="1:41" s="11" customFormat="1" ht="24" x14ac:dyDescent="0.25">
      <c r="A1366" s="2">
        <v>1365</v>
      </c>
      <c r="B1366" s="7" t="s">
        <v>1139</v>
      </c>
      <c r="C1366" s="7" t="s">
        <v>577</v>
      </c>
      <c r="D1366" s="16">
        <v>318</v>
      </c>
      <c r="E1366" s="16">
        <v>318</v>
      </c>
      <c r="F1366" s="8">
        <v>18</v>
      </c>
      <c r="G1366" s="8">
        <v>18</v>
      </c>
      <c r="H1366" s="7" t="s">
        <v>1146</v>
      </c>
      <c r="I1366" s="7">
        <v>18</v>
      </c>
      <c r="J1366" s="9" t="s">
        <v>639</v>
      </c>
      <c r="K1366" s="7"/>
      <c r="L1366" s="7" t="s">
        <v>38</v>
      </c>
      <c r="M1366" s="7">
        <f t="shared" si="105"/>
        <v>0</v>
      </c>
      <c r="N1366" s="9"/>
      <c r="O1366" s="7"/>
      <c r="P1366" s="9"/>
      <c r="Q1366" s="7"/>
      <c r="R1366" s="7"/>
      <c r="S1366" s="7"/>
      <c r="T1366" s="7"/>
      <c r="U1366" s="7"/>
      <c r="V1366" s="7"/>
      <c r="W1366" s="7"/>
      <c r="X1366" s="7"/>
      <c r="Y1366" s="7"/>
      <c r="Z1366" s="7"/>
      <c r="AA1366" s="7"/>
      <c r="AB1366" s="7">
        <v>0.33333333333333298</v>
      </c>
      <c r="AC1366" s="7">
        <f t="shared" si="106"/>
        <v>0</v>
      </c>
      <c r="AD1366" s="7"/>
      <c r="AE1366" s="7"/>
      <c r="AF1366" s="7"/>
      <c r="AG1366" s="7"/>
      <c r="AH1366" s="7"/>
      <c r="AI1366" s="7"/>
      <c r="AJ1366" s="7"/>
      <c r="AK1366" s="7"/>
      <c r="AL1366" s="9"/>
      <c r="AM1366" s="7"/>
      <c r="AN1366" s="7"/>
      <c r="AO1366" s="15" t="s">
        <v>2697</v>
      </c>
    </row>
    <row r="1367" spans="1:41" s="11" customFormat="1" x14ac:dyDescent="0.25">
      <c r="A1367" s="2">
        <v>1366</v>
      </c>
      <c r="B1367" s="7" t="s">
        <v>1147</v>
      </c>
      <c r="C1367" s="7" t="s">
        <v>50</v>
      </c>
      <c r="D1367" s="16">
        <v>45</v>
      </c>
      <c r="E1367" s="16">
        <v>45</v>
      </c>
      <c r="F1367" s="8">
        <v>1</v>
      </c>
      <c r="G1367" s="8">
        <v>1</v>
      </c>
      <c r="H1367" s="7">
        <v>1</v>
      </c>
      <c r="I1367" s="7">
        <v>1</v>
      </c>
      <c r="J1367" s="9" t="s">
        <v>35</v>
      </c>
      <c r="K1367" s="7">
        <v>1</v>
      </c>
      <c r="L1367" s="7" t="s">
        <v>52</v>
      </c>
      <c r="M1367" s="7">
        <f t="shared" si="105"/>
        <v>1</v>
      </c>
      <c r="N1367" s="9" t="s">
        <v>34</v>
      </c>
      <c r="O1367" s="7">
        <v>0</v>
      </c>
      <c r="P1367" s="9" t="s">
        <v>37</v>
      </c>
      <c r="Q1367" s="7" t="s">
        <v>38</v>
      </c>
      <c r="R1367" s="7" t="s">
        <v>38</v>
      </c>
      <c r="S1367" s="10" t="s">
        <v>1931</v>
      </c>
      <c r="T1367" s="7"/>
      <c r="U1367" s="7"/>
      <c r="V1367" s="7"/>
      <c r="W1367" s="7"/>
      <c r="X1367" s="7">
        <v>3</v>
      </c>
      <c r="Y1367" s="7">
        <v>60</v>
      </c>
      <c r="Z1367" s="7">
        <v>60</v>
      </c>
      <c r="AA1367" s="7">
        <v>49</v>
      </c>
      <c r="AB1367" s="7">
        <f t="shared" ref="AB1367:AB1373" si="108">(U1367+X1367+Z1367)/3</f>
        <v>21</v>
      </c>
      <c r="AC1367" s="7">
        <f t="shared" si="106"/>
        <v>21</v>
      </c>
      <c r="AD1367" s="7"/>
      <c r="AE1367" s="7">
        <v>1</v>
      </c>
      <c r="AF1367" s="7" t="s">
        <v>40</v>
      </c>
      <c r="AG1367" s="7" t="s">
        <v>534</v>
      </c>
      <c r="AH1367" s="7"/>
      <c r="AI1367" s="7"/>
      <c r="AJ1367" s="10" t="s">
        <v>2407</v>
      </c>
      <c r="AK1367" s="7"/>
      <c r="AL1367" s="9"/>
      <c r="AM1367" s="7" t="s">
        <v>42</v>
      </c>
      <c r="AN1367" s="7" t="s">
        <v>42</v>
      </c>
      <c r="AO1367" s="12"/>
    </row>
    <row r="1368" spans="1:41" s="11" customFormat="1" ht="24" x14ac:dyDescent="0.25">
      <c r="A1368" s="2">
        <v>1367</v>
      </c>
      <c r="B1368" s="7" t="s">
        <v>1147</v>
      </c>
      <c r="C1368" s="7" t="s">
        <v>823</v>
      </c>
      <c r="D1368" s="7" t="s">
        <v>1148</v>
      </c>
      <c r="E1368" s="7">
        <v>65</v>
      </c>
      <c r="F1368" s="8">
        <v>1</v>
      </c>
      <c r="G1368" s="8">
        <v>2</v>
      </c>
      <c r="H1368" s="7">
        <v>2</v>
      </c>
      <c r="I1368" s="7">
        <v>2</v>
      </c>
      <c r="J1368" s="9" t="s">
        <v>346</v>
      </c>
      <c r="K1368" s="7">
        <v>2</v>
      </c>
      <c r="L1368" s="7" t="s">
        <v>52</v>
      </c>
      <c r="M1368" s="7">
        <f t="shared" si="105"/>
        <v>1</v>
      </c>
      <c r="N1368" s="9" t="s">
        <v>36</v>
      </c>
      <c r="O1368" s="7">
        <v>0</v>
      </c>
      <c r="P1368" s="9" t="s">
        <v>63</v>
      </c>
      <c r="Q1368" s="7" t="s">
        <v>38</v>
      </c>
      <c r="R1368" s="7" t="s">
        <v>38</v>
      </c>
      <c r="S1368" s="10" t="s">
        <v>2172</v>
      </c>
      <c r="T1368" s="7"/>
      <c r="U1368" s="7"/>
      <c r="V1368" s="7"/>
      <c r="W1368" s="7"/>
      <c r="X1368" s="7"/>
      <c r="Y1368" s="7">
        <v>16</v>
      </c>
      <c r="Z1368" s="7">
        <v>16</v>
      </c>
      <c r="AA1368" s="7">
        <v>80</v>
      </c>
      <c r="AB1368" s="7">
        <f t="shared" si="108"/>
        <v>5.333333333333333</v>
      </c>
      <c r="AC1368" s="7">
        <f t="shared" si="106"/>
        <v>5.333333333333333</v>
      </c>
      <c r="AD1368" s="7"/>
      <c r="AE1368" s="7"/>
      <c r="AF1368" s="7"/>
      <c r="AG1368" s="7"/>
      <c r="AH1368" s="7"/>
      <c r="AI1368" s="7"/>
      <c r="AJ1368" s="10" t="s">
        <v>2361</v>
      </c>
      <c r="AK1368" s="7"/>
      <c r="AL1368" s="9"/>
      <c r="AM1368" s="7" t="s">
        <v>1149</v>
      </c>
      <c r="AN1368" s="7" t="s">
        <v>2847</v>
      </c>
      <c r="AO1368" s="15" t="s">
        <v>2698</v>
      </c>
    </row>
    <row r="1369" spans="1:41" s="11" customFormat="1" x14ac:dyDescent="0.25">
      <c r="A1369" s="2">
        <v>1368</v>
      </c>
      <c r="B1369" s="7" t="s">
        <v>1147</v>
      </c>
      <c r="C1369" s="7" t="s">
        <v>89</v>
      </c>
      <c r="D1369" s="7" t="s">
        <v>1150</v>
      </c>
      <c r="E1369" s="7">
        <f>13+10+5+4</f>
        <v>32</v>
      </c>
      <c r="F1369" s="8">
        <v>3</v>
      </c>
      <c r="G1369" s="8">
        <v>9</v>
      </c>
      <c r="H1369" s="7" t="s">
        <v>359</v>
      </c>
      <c r="I1369" s="7">
        <v>9</v>
      </c>
      <c r="J1369" s="9" t="s">
        <v>35</v>
      </c>
      <c r="K1369" s="7">
        <v>1</v>
      </c>
      <c r="L1369" s="7" t="s">
        <v>52</v>
      </c>
      <c r="M1369" s="7">
        <f t="shared" si="105"/>
        <v>3</v>
      </c>
      <c r="N1369" s="9"/>
      <c r="O1369" s="7"/>
      <c r="P1369" s="9"/>
      <c r="Q1369" s="7"/>
      <c r="R1369" s="7"/>
      <c r="S1369" s="7"/>
      <c r="T1369" s="7"/>
      <c r="U1369" s="7"/>
      <c r="V1369" s="7"/>
      <c r="W1369" s="7"/>
      <c r="X1369" s="7">
        <v>3</v>
      </c>
      <c r="Y1369" s="7"/>
      <c r="Z1369" s="7"/>
      <c r="AA1369" s="7"/>
      <c r="AB1369" s="7">
        <f t="shared" si="108"/>
        <v>1</v>
      </c>
      <c r="AC1369" s="7">
        <f t="shared" si="106"/>
        <v>1</v>
      </c>
      <c r="AD1369" s="7"/>
      <c r="AE1369" s="7"/>
      <c r="AF1369" s="7"/>
      <c r="AG1369" s="7"/>
      <c r="AH1369" s="7"/>
      <c r="AI1369" s="7"/>
      <c r="AJ1369" s="7"/>
      <c r="AK1369" s="7"/>
      <c r="AL1369" s="9"/>
      <c r="AM1369" s="7" t="s">
        <v>71</v>
      </c>
      <c r="AN1369" s="7" t="s">
        <v>71</v>
      </c>
      <c r="AO1369" s="12"/>
    </row>
    <row r="1370" spans="1:41" s="11" customFormat="1" x14ac:dyDescent="0.25">
      <c r="A1370" s="2">
        <v>1369</v>
      </c>
      <c r="B1370" s="7" t="s">
        <v>1147</v>
      </c>
      <c r="C1370" s="7" t="s">
        <v>89</v>
      </c>
      <c r="D1370" s="7" t="s">
        <v>1151</v>
      </c>
      <c r="E1370" s="7">
        <f>10+13+9+7+3</f>
        <v>42</v>
      </c>
      <c r="F1370" s="8">
        <v>5</v>
      </c>
      <c r="G1370" s="9" t="s">
        <v>1152</v>
      </c>
      <c r="H1370" s="7" t="s">
        <v>1153</v>
      </c>
      <c r="I1370" s="7">
        <v>9</v>
      </c>
      <c r="J1370" s="9" t="s">
        <v>35</v>
      </c>
      <c r="K1370" s="7">
        <v>2</v>
      </c>
      <c r="L1370" s="7" t="s">
        <v>52</v>
      </c>
      <c r="M1370" s="7">
        <f t="shared" si="105"/>
        <v>5</v>
      </c>
      <c r="N1370" s="9"/>
      <c r="O1370" s="7"/>
      <c r="P1370" s="9"/>
      <c r="Q1370" s="7"/>
      <c r="R1370" s="7"/>
      <c r="S1370" s="7"/>
      <c r="T1370" s="7"/>
      <c r="U1370" s="7"/>
      <c r="V1370" s="7"/>
      <c r="W1370" s="7"/>
      <c r="X1370" s="7">
        <v>3</v>
      </c>
      <c r="Y1370" s="7"/>
      <c r="Z1370" s="7"/>
      <c r="AA1370" s="7"/>
      <c r="AB1370" s="7">
        <f t="shared" si="108"/>
        <v>1</v>
      </c>
      <c r="AC1370" s="7">
        <f t="shared" si="106"/>
        <v>1</v>
      </c>
      <c r="AD1370" s="7"/>
      <c r="AE1370" s="7"/>
      <c r="AF1370" s="7"/>
      <c r="AG1370" s="7"/>
      <c r="AH1370" s="7"/>
      <c r="AI1370" s="7"/>
      <c r="AJ1370" s="7"/>
      <c r="AK1370" s="7"/>
      <c r="AL1370" s="9"/>
      <c r="AM1370" s="7" t="s">
        <v>71</v>
      </c>
      <c r="AN1370" s="7" t="s">
        <v>71</v>
      </c>
      <c r="AO1370" s="12"/>
    </row>
    <row r="1371" spans="1:41" s="11" customFormat="1" x14ac:dyDescent="0.25">
      <c r="A1371" s="2">
        <v>1370</v>
      </c>
      <c r="B1371" s="7" t="s">
        <v>1147</v>
      </c>
      <c r="C1371" s="7" t="s">
        <v>50</v>
      </c>
      <c r="D1371" s="7">
        <v>45</v>
      </c>
      <c r="E1371" s="7">
        <v>45</v>
      </c>
      <c r="F1371" s="8">
        <v>1</v>
      </c>
      <c r="G1371" s="8">
        <v>1</v>
      </c>
      <c r="H1371" s="7">
        <v>1</v>
      </c>
      <c r="I1371" s="7">
        <v>1</v>
      </c>
      <c r="J1371" s="9" t="s">
        <v>70</v>
      </c>
      <c r="K1371" s="7">
        <v>2</v>
      </c>
      <c r="L1371" s="7" t="s">
        <v>52</v>
      </c>
      <c r="M1371" s="7">
        <f t="shared" si="105"/>
        <v>1</v>
      </c>
      <c r="N1371" s="9" t="s">
        <v>34</v>
      </c>
      <c r="O1371" s="7">
        <v>0</v>
      </c>
      <c r="P1371" s="9" t="s">
        <v>63</v>
      </c>
      <c r="Q1371" s="7" t="s">
        <v>38</v>
      </c>
      <c r="R1371" s="7" t="s">
        <v>38</v>
      </c>
      <c r="S1371" s="10" t="s">
        <v>2173</v>
      </c>
      <c r="T1371" s="7"/>
      <c r="U1371" s="7"/>
      <c r="V1371" s="7"/>
      <c r="W1371" s="7"/>
      <c r="X1371" s="7">
        <v>3</v>
      </c>
      <c r="Y1371" s="7">
        <v>15</v>
      </c>
      <c r="Z1371" s="7">
        <v>15</v>
      </c>
      <c r="AA1371" s="7">
        <v>70</v>
      </c>
      <c r="AB1371" s="7">
        <f t="shared" si="108"/>
        <v>6</v>
      </c>
      <c r="AC1371" s="7">
        <f t="shared" si="106"/>
        <v>6</v>
      </c>
      <c r="AD1371" s="7"/>
      <c r="AE1371" s="7">
        <v>1</v>
      </c>
      <c r="AF1371" s="7" t="s">
        <v>40</v>
      </c>
      <c r="AG1371" s="7" t="s">
        <v>534</v>
      </c>
      <c r="AH1371" s="7"/>
      <c r="AI1371" s="7"/>
      <c r="AJ1371" s="7"/>
      <c r="AK1371" s="7"/>
      <c r="AL1371" s="9"/>
      <c r="AM1371" s="7" t="s">
        <v>71</v>
      </c>
      <c r="AN1371" s="7" t="s">
        <v>71</v>
      </c>
      <c r="AO1371" s="12"/>
    </row>
    <row r="1372" spans="1:41" s="11" customFormat="1" x14ac:dyDescent="0.25">
      <c r="A1372" s="2">
        <v>1371</v>
      </c>
      <c r="B1372" s="7" t="s">
        <v>1147</v>
      </c>
      <c r="C1372" s="7" t="s">
        <v>50</v>
      </c>
      <c r="D1372" s="7">
        <v>17</v>
      </c>
      <c r="E1372" s="7">
        <v>17</v>
      </c>
      <c r="F1372" s="8">
        <v>1</v>
      </c>
      <c r="G1372" s="8">
        <v>1</v>
      </c>
      <c r="H1372" s="7">
        <v>1</v>
      </c>
      <c r="I1372" s="7">
        <v>1</v>
      </c>
      <c r="J1372" s="9" t="s">
        <v>35</v>
      </c>
      <c r="K1372" s="7">
        <v>1</v>
      </c>
      <c r="L1372" s="7" t="s">
        <v>52</v>
      </c>
      <c r="M1372" s="7">
        <f t="shared" si="105"/>
        <v>1</v>
      </c>
      <c r="N1372" s="9" t="s">
        <v>36</v>
      </c>
      <c r="O1372" s="7">
        <v>0</v>
      </c>
      <c r="P1372" s="9" t="s">
        <v>63</v>
      </c>
      <c r="Q1372" s="7" t="s">
        <v>38</v>
      </c>
      <c r="R1372" s="7" t="s">
        <v>38</v>
      </c>
      <c r="S1372" s="10" t="s">
        <v>2174</v>
      </c>
      <c r="T1372" s="7"/>
      <c r="U1372" s="7"/>
      <c r="V1372" s="7"/>
      <c r="W1372" s="7"/>
      <c r="X1372" s="7">
        <v>3</v>
      </c>
      <c r="Y1372" s="7">
        <v>10</v>
      </c>
      <c r="Z1372" s="7">
        <v>10</v>
      </c>
      <c r="AA1372" s="7">
        <v>70</v>
      </c>
      <c r="AB1372" s="7">
        <f t="shared" si="108"/>
        <v>4.333333333333333</v>
      </c>
      <c r="AC1372" s="7">
        <f t="shared" si="106"/>
        <v>4.333333333333333</v>
      </c>
      <c r="AD1372" s="7"/>
      <c r="AE1372" s="7"/>
      <c r="AF1372" s="7"/>
      <c r="AG1372" s="7"/>
      <c r="AH1372" s="7"/>
      <c r="AI1372" s="7"/>
      <c r="AJ1372" s="10" t="s">
        <v>2408</v>
      </c>
      <c r="AK1372" s="7"/>
      <c r="AL1372" s="9"/>
      <c r="AM1372" s="7" t="s">
        <v>42</v>
      </c>
      <c r="AN1372" s="7" t="s">
        <v>42</v>
      </c>
      <c r="AO1372" s="15" t="s">
        <v>2699</v>
      </c>
    </row>
    <row r="1373" spans="1:41" s="11" customFormat="1" x14ac:dyDescent="0.25">
      <c r="A1373" s="2">
        <v>1372</v>
      </c>
      <c r="B1373" s="7" t="s">
        <v>1147</v>
      </c>
      <c r="C1373" s="7" t="s">
        <v>249</v>
      </c>
      <c r="D1373" s="7" t="s">
        <v>504</v>
      </c>
      <c r="E1373" s="7">
        <v>16</v>
      </c>
      <c r="F1373" s="8">
        <v>2</v>
      </c>
      <c r="G1373" s="8">
        <v>2</v>
      </c>
      <c r="H1373" s="7" t="s">
        <v>87</v>
      </c>
      <c r="I1373" s="7">
        <v>2</v>
      </c>
      <c r="J1373" s="9" t="s">
        <v>70</v>
      </c>
      <c r="K1373" s="7">
        <v>1</v>
      </c>
      <c r="L1373" s="7" t="s">
        <v>52</v>
      </c>
      <c r="M1373" s="7">
        <f t="shared" si="105"/>
        <v>2</v>
      </c>
      <c r="N1373" s="9" t="s">
        <v>36</v>
      </c>
      <c r="O1373" s="7">
        <v>0</v>
      </c>
      <c r="P1373" s="9" t="s">
        <v>63</v>
      </c>
      <c r="Q1373" s="7" t="s">
        <v>38</v>
      </c>
      <c r="R1373" s="7" t="s">
        <v>38</v>
      </c>
      <c r="S1373" s="10" t="s">
        <v>2175</v>
      </c>
      <c r="T1373" s="7"/>
      <c r="U1373" s="7"/>
      <c r="V1373" s="7"/>
      <c r="W1373" s="7"/>
      <c r="X1373" s="7">
        <v>3</v>
      </c>
      <c r="Y1373" s="7" t="s">
        <v>1154</v>
      </c>
      <c r="Z1373" s="7"/>
      <c r="AA1373" s="7"/>
      <c r="AB1373" s="7">
        <f t="shared" si="108"/>
        <v>1</v>
      </c>
      <c r="AC1373" s="7">
        <f t="shared" si="106"/>
        <v>1</v>
      </c>
      <c r="AD1373" s="7"/>
      <c r="AE1373" s="7">
        <v>2</v>
      </c>
      <c r="AF1373" s="7" t="s">
        <v>40</v>
      </c>
      <c r="AG1373" s="7" t="s">
        <v>1155</v>
      </c>
      <c r="AH1373" s="7"/>
      <c r="AI1373" s="7"/>
      <c r="AJ1373" s="7"/>
      <c r="AK1373" s="7"/>
      <c r="AL1373" s="9"/>
      <c r="AM1373" s="7" t="s">
        <v>71</v>
      </c>
      <c r="AN1373" s="7" t="s">
        <v>71</v>
      </c>
      <c r="AO1373" s="12"/>
    </row>
    <row r="1374" spans="1:41" s="11" customFormat="1" x14ac:dyDescent="0.25">
      <c r="A1374" s="2">
        <v>1373</v>
      </c>
      <c r="B1374" s="7" t="s">
        <v>1147</v>
      </c>
      <c r="C1374" s="7" t="s">
        <v>115</v>
      </c>
      <c r="D1374" s="7" t="s">
        <v>1156</v>
      </c>
      <c r="E1374" s="7">
        <v>17</v>
      </c>
      <c r="F1374" s="8">
        <v>2</v>
      </c>
      <c r="G1374" s="8">
        <v>2</v>
      </c>
      <c r="H1374" s="7" t="s">
        <v>87</v>
      </c>
      <c r="I1374" s="7">
        <v>2</v>
      </c>
      <c r="J1374" s="9" t="s">
        <v>70</v>
      </c>
      <c r="K1374" s="7">
        <v>2</v>
      </c>
      <c r="L1374" s="7" t="s">
        <v>52</v>
      </c>
      <c r="M1374" s="7">
        <f t="shared" si="105"/>
        <v>2</v>
      </c>
      <c r="N1374" s="9" t="s">
        <v>82</v>
      </c>
      <c r="O1374" s="7">
        <v>0</v>
      </c>
      <c r="P1374" s="9" t="s">
        <v>36</v>
      </c>
      <c r="Q1374" s="7"/>
      <c r="R1374" s="7" t="s">
        <v>38</v>
      </c>
      <c r="S1374" s="10" t="s">
        <v>2176</v>
      </c>
      <c r="T1374" s="7"/>
      <c r="U1374" s="7"/>
      <c r="V1374" s="7"/>
      <c r="W1374" s="7"/>
      <c r="X1374" s="7"/>
      <c r="Y1374" s="7"/>
      <c r="Z1374" s="7"/>
      <c r="AA1374" s="7"/>
      <c r="AB1374" s="7">
        <v>0.33333333333333298</v>
      </c>
      <c r="AC1374" s="7">
        <f t="shared" si="106"/>
        <v>0.33333333333333298</v>
      </c>
      <c r="AD1374" s="7">
        <v>2</v>
      </c>
      <c r="AE1374" s="7"/>
      <c r="AF1374" s="7" t="s">
        <v>40</v>
      </c>
      <c r="AG1374" s="7" t="s">
        <v>1157</v>
      </c>
      <c r="AH1374" s="7"/>
      <c r="AI1374" s="7"/>
      <c r="AJ1374" s="7"/>
      <c r="AK1374" s="7"/>
      <c r="AL1374" s="9"/>
      <c r="AM1374" s="7" t="s">
        <v>71</v>
      </c>
      <c r="AN1374" s="7" t="s">
        <v>71</v>
      </c>
      <c r="AO1374" s="12"/>
    </row>
    <row r="1375" spans="1:41" s="11" customFormat="1" x14ac:dyDescent="0.25">
      <c r="A1375" s="2">
        <v>1374</v>
      </c>
      <c r="B1375" s="7" t="s">
        <v>1147</v>
      </c>
      <c r="C1375" s="7" t="s">
        <v>119</v>
      </c>
      <c r="D1375" s="7">
        <v>7</v>
      </c>
      <c r="E1375" s="7">
        <v>7</v>
      </c>
      <c r="F1375" s="8">
        <v>1</v>
      </c>
      <c r="G1375" s="8">
        <v>1</v>
      </c>
      <c r="H1375" s="7">
        <v>1</v>
      </c>
      <c r="I1375" s="7">
        <v>1</v>
      </c>
      <c r="J1375" s="9" t="s">
        <v>70</v>
      </c>
      <c r="K1375" s="7">
        <v>1</v>
      </c>
      <c r="L1375" s="7" t="s">
        <v>52</v>
      </c>
      <c r="M1375" s="7">
        <f t="shared" si="105"/>
        <v>1</v>
      </c>
      <c r="N1375" s="9" t="s">
        <v>36</v>
      </c>
      <c r="O1375" s="7">
        <v>0</v>
      </c>
      <c r="P1375" s="9" t="s">
        <v>63</v>
      </c>
      <c r="Q1375" s="7"/>
      <c r="R1375" s="7" t="s">
        <v>38</v>
      </c>
      <c r="S1375" s="10" t="s">
        <v>2177</v>
      </c>
      <c r="T1375" s="7"/>
      <c r="U1375" s="7"/>
      <c r="V1375" s="7"/>
      <c r="W1375" s="7"/>
      <c r="X1375" s="7"/>
      <c r="Y1375" s="7"/>
      <c r="Z1375" s="7"/>
      <c r="AA1375" s="7"/>
      <c r="AB1375" s="7">
        <v>0.33333333333333298</v>
      </c>
      <c r="AC1375" s="7">
        <f t="shared" si="106"/>
        <v>0.33333333333333298</v>
      </c>
      <c r="AD1375" s="7">
        <v>1</v>
      </c>
      <c r="AE1375" s="7"/>
      <c r="AF1375" s="7" t="s">
        <v>40</v>
      </c>
      <c r="AG1375" s="7" t="s">
        <v>1158</v>
      </c>
      <c r="AH1375" s="7"/>
      <c r="AI1375" s="7"/>
      <c r="AJ1375" s="7"/>
      <c r="AK1375" s="7"/>
      <c r="AL1375" s="9"/>
      <c r="AM1375" s="7" t="s">
        <v>71</v>
      </c>
      <c r="AN1375" s="7" t="s">
        <v>71</v>
      </c>
      <c r="AO1375" s="12"/>
    </row>
    <row r="1376" spans="1:41" s="11" customFormat="1" x14ac:dyDescent="0.25">
      <c r="A1376" s="2">
        <v>1375</v>
      </c>
      <c r="B1376" s="7" t="s">
        <v>1147</v>
      </c>
      <c r="C1376" s="7" t="s">
        <v>78</v>
      </c>
      <c r="D1376" s="7">
        <v>2</v>
      </c>
      <c r="E1376" s="7">
        <v>2</v>
      </c>
      <c r="F1376" s="8">
        <v>1</v>
      </c>
      <c r="G1376" s="8">
        <v>1</v>
      </c>
      <c r="H1376" s="7">
        <v>1</v>
      </c>
      <c r="I1376" s="7">
        <v>1</v>
      </c>
      <c r="J1376" s="9" t="s">
        <v>70</v>
      </c>
      <c r="K1376" s="7">
        <v>1</v>
      </c>
      <c r="L1376" s="7" t="s">
        <v>52</v>
      </c>
      <c r="M1376" s="7">
        <f t="shared" si="105"/>
        <v>1</v>
      </c>
      <c r="N1376" s="9" t="s">
        <v>34</v>
      </c>
      <c r="O1376" s="7">
        <v>0</v>
      </c>
      <c r="P1376" s="9" t="s">
        <v>63</v>
      </c>
      <c r="Q1376" s="7" t="s">
        <v>38</v>
      </c>
      <c r="R1376" s="7" t="s">
        <v>38</v>
      </c>
      <c r="S1376" s="10" t="s">
        <v>2007</v>
      </c>
      <c r="T1376" s="7">
        <v>5</v>
      </c>
      <c r="U1376" s="7">
        <v>5</v>
      </c>
      <c r="V1376" s="7">
        <v>120</v>
      </c>
      <c r="W1376" s="7" t="s">
        <v>254</v>
      </c>
      <c r="X1376" s="7"/>
      <c r="Y1376" s="7"/>
      <c r="Z1376" s="7"/>
      <c r="AA1376" s="7"/>
      <c r="AB1376" s="7">
        <f t="shared" ref="AB1376:AB1395" si="109">(U1376+X1376+Z1376)/3</f>
        <v>1.6666666666666667</v>
      </c>
      <c r="AC1376" s="7">
        <f t="shared" si="106"/>
        <v>1.6666666666666667</v>
      </c>
      <c r="AD1376" s="7"/>
      <c r="AE1376" s="7"/>
      <c r="AF1376" s="7"/>
      <c r="AG1376" s="7"/>
      <c r="AH1376" s="7"/>
      <c r="AI1376" s="7"/>
      <c r="AJ1376" s="7"/>
      <c r="AK1376" s="7"/>
      <c r="AL1376" s="9"/>
      <c r="AM1376" s="7" t="s">
        <v>71</v>
      </c>
      <c r="AN1376" s="7" t="s">
        <v>71</v>
      </c>
      <c r="AO1376" s="12"/>
    </row>
    <row r="1377" spans="1:41" s="11" customFormat="1" x14ac:dyDescent="0.25">
      <c r="A1377" s="2">
        <v>1376</v>
      </c>
      <c r="B1377" s="7" t="s">
        <v>1147</v>
      </c>
      <c r="C1377" s="7" t="s">
        <v>89</v>
      </c>
      <c r="D1377" s="7" t="s">
        <v>293</v>
      </c>
      <c r="E1377" s="7">
        <v>3</v>
      </c>
      <c r="F1377" s="8">
        <v>2</v>
      </c>
      <c r="G1377" s="8">
        <v>2</v>
      </c>
      <c r="H1377" s="7" t="s">
        <v>87</v>
      </c>
      <c r="I1377" s="7">
        <v>2</v>
      </c>
      <c r="J1377" s="9" t="s">
        <v>70</v>
      </c>
      <c r="K1377" s="7">
        <v>2</v>
      </c>
      <c r="L1377" s="7" t="s">
        <v>52</v>
      </c>
      <c r="M1377" s="7">
        <f t="shared" si="105"/>
        <v>2</v>
      </c>
      <c r="N1377" s="9"/>
      <c r="O1377" s="7"/>
      <c r="P1377" s="9"/>
      <c r="Q1377" s="7"/>
      <c r="R1377" s="7"/>
      <c r="S1377" s="7"/>
      <c r="T1377" s="7"/>
      <c r="U1377" s="7"/>
      <c r="V1377" s="7"/>
      <c r="W1377" s="7"/>
      <c r="X1377" s="7">
        <v>3</v>
      </c>
      <c r="Y1377" s="7"/>
      <c r="Z1377" s="7"/>
      <c r="AA1377" s="7"/>
      <c r="AB1377" s="7">
        <f t="shared" si="109"/>
        <v>1</v>
      </c>
      <c r="AC1377" s="7">
        <f t="shared" si="106"/>
        <v>1</v>
      </c>
      <c r="AD1377" s="7"/>
      <c r="AE1377" s="7"/>
      <c r="AF1377" s="7"/>
      <c r="AG1377" s="7"/>
      <c r="AH1377" s="7"/>
      <c r="AI1377" s="7"/>
      <c r="AJ1377" s="7"/>
      <c r="AK1377" s="7"/>
      <c r="AL1377" s="9"/>
      <c r="AM1377" s="7" t="s">
        <v>71</v>
      </c>
      <c r="AN1377" s="7" t="s">
        <v>71</v>
      </c>
      <c r="AO1377" s="12"/>
    </row>
    <row r="1378" spans="1:41" s="11" customFormat="1" x14ac:dyDescent="0.25">
      <c r="A1378" s="2">
        <v>1377</v>
      </c>
      <c r="B1378" s="7" t="s">
        <v>1147</v>
      </c>
      <c r="C1378" s="7" t="s">
        <v>89</v>
      </c>
      <c r="D1378" s="7" t="s">
        <v>1159</v>
      </c>
      <c r="E1378" s="7">
        <f>29+4+3+1</f>
        <v>37</v>
      </c>
      <c r="F1378" s="8">
        <v>6</v>
      </c>
      <c r="G1378" s="8">
        <v>6</v>
      </c>
      <c r="H1378" s="7" t="s">
        <v>397</v>
      </c>
      <c r="I1378" s="7">
        <v>6</v>
      </c>
      <c r="J1378" s="9" t="s">
        <v>70</v>
      </c>
      <c r="K1378" s="7">
        <v>1</v>
      </c>
      <c r="L1378" s="7" t="s">
        <v>52</v>
      </c>
      <c r="M1378" s="7">
        <f t="shared" si="105"/>
        <v>6</v>
      </c>
      <c r="N1378" s="9"/>
      <c r="O1378" s="7"/>
      <c r="P1378" s="9"/>
      <c r="Q1378" s="7"/>
      <c r="R1378" s="7"/>
      <c r="S1378" s="7"/>
      <c r="T1378" s="7"/>
      <c r="U1378" s="7"/>
      <c r="V1378" s="7"/>
      <c r="W1378" s="7"/>
      <c r="X1378" s="7">
        <v>3</v>
      </c>
      <c r="Y1378" s="7"/>
      <c r="Z1378" s="7"/>
      <c r="AA1378" s="7"/>
      <c r="AB1378" s="7">
        <f t="shared" si="109"/>
        <v>1</v>
      </c>
      <c r="AC1378" s="7">
        <f t="shared" si="106"/>
        <v>1</v>
      </c>
      <c r="AD1378" s="7"/>
      <c r="AE1378" s="7"/>
      <c r="AF1378" s="7"/>
      <c r="AG1378" s="7"/>
      <c r="AH1378" s="7"/>
      <c r="AI1378" s="7"/>
      <c r="AJ1378" s="7"/>
      <c r="AK1378" s="7"/>
      <c r="AL1378" s="9"/>
      <c r="AM1378" s="7" t="s">
        <v>71</v>
      </c>
      <c r="AN1378" s="7" t="s">
        <v>71</v>
      </c>
      <c r="AO1378" s="12"/>
    </row>
    <row r="1379" spans="1:41" s="11" customFormat="1" x14ac:dyDescent="0.25">
      <c r="A1379" s="2">
        <v>1378</v>
      </c>
      <c r="B1379" s="7" t="s">
        <v>1147</v>
      </c>
      <c r="C1379" s="7" t="s">
        <v>50</v>
      </c>
      <c r="D1379" s="7">
        <v>74</v>
      </c>
      <c r="E1379" s="7">
        <v>74</v>
      </c>
      <c r="F1379" s="8">
        <v>1</v>
      </c>
      <c r="G1379" s="8">
        <v>1</v>
      </c>
      <c r="H1379" s="7">
        <v>1</v>
      </c>
      <c r="I1379" s="7">
        <v>1</v>
      </c>
      <c r="J1379" s="9" t="s">
        <v>77</v>
      </c>
      <c r="K1379" s="7">
        <v>1</v>
      </c>
      <c r="L1379" s="7" t="s">
        <v>52</v>
      </c>
      <c r="M1379" s="7">
        <f t="shared" si="105"/>
        <v>1</v>
      </c>
      <c r="N1379" s="9" t="s">
        <v>36</v>
      </c>
      <c r="O1379" s="7">
        <v>0</v>
      </c>
      <c r="P1379" s="9" t="s">
        <v>37</v>
      </c>
      <c r="Q1379" s="7" t="s">
        <v>38</v>
      </c>
      <c r="R1379" s="7" t="s">
        <v>38</v>
      </c>
      <c r="S1379" s="7" t="s">
        <v>1160</v>
      </c>
      <c r="T1379" s="7"/>
      <c r="U1379" s="7"/>
      <c r="V1379" s="7"/>
      <c r="W1379" s="7"/>
      <c r="X1379" s="7"/>
      <c r="Y1379" s="7">
        <v>100</v>
      </c>
      <c r="Z1379" s="7">
        <v>100</v>
      </c>
      <c r="AA1379" s="7">
        <v>59</v>
      </c>
      <c r="AB1379" s="7">
        <f t="shared" si="109"/>
        <v>33.333333333333336</v>
      </c>
      <c r="AC1379" s="7">
        <f t="shared" si="106"/>
        <v>33.333333333333336</v>
      </c>
      <c r="AD1379" s="7"/>
      <c r="AE1379" s="7"/>
      <c r="AF1379" s="7"/>
      <c r="AG1379" s="7"/>
      <c r="AH1379" s="7"/>
      <c r="AI1379" s="7"/>
      <c r="AJ1379" s="7"/>
      <c r="AK1379" s="7"/>
      <c r="AL1379" s="9"/>
      <c r="AM1379" s="7" t="s">
        <v>42</v>
      </c>
      <c r="AN1379" s="7" t="s">
        <v>42</v>
      </c>
      <c r="AO1379" s="12"/>
    </row>
    <row r="1380" spans="1:41" s="11" customFormat="1" x14ac:dyDescent="0.25">
      <c r="A1380" s="2">
        <v>1379</v>
      </c>
      <c r="B1380" s="7" t="s">
        <v>1147</v>
      </c>
      <c r="C1380" s="7" t="s">
        <v>50</v>
      </c>
      <c r="D1380" s="7">
        <v>27</v>
      </c>
      <c r="E1380" s="7">
        <v>27</v>
      </c>
      <c r="F1380" s="8">
        <v>1</v>
      </c>
      <c r="G1380" s="8">
        <v>1</v>
      </c>
      <c r="H1380" s="7">
        <v>1</v>
      </c>
      <c r="I1380" s="7">
        <v>1</v>
      </c>
      <c r="J1380" s="9" t="s">
        <v>77</v>
      </c>
      <c r="K1380" s="7">
        <v>1</v>
      </c>
      <c r="L1380" s="7" t="s">
        <v>52</v>
      </c>
      <c r="M1380" s="7">
        <f t="shared" si="105"/>
        <v>1</v>
      </c>
      <c r="N1380" s="9" t="s">
        <v>36</v>
      </c>
      <c r="O1380" s="7">
        <v>0</v>
      </c>
      <c r="P1380" s="9" t="s">
        <v>63</v>
      </c>
      <c r="Q1380" s="7" t="s">
        <v>38</v>
      </c>
      <c r="R1380" s="7" t="s">
        <v>38</v>
      </c>
      <c r="S1380" s="10" t="s">
        <v>2178</v>
      </c>
      <c r="T1380" s="7"/>
      <c r="U1380" s="7"/>
      <c r="V1380" s="7"/>
      <c r="W1380" s="7"/>
      <c r="X1380" s="7"/>
      <c r="Y1380" s="7">
        <v>35</v>
      </c>
      <c r="Z1380" s="7">
        <v>35</v>
      </c>
      <c r="AA1380" s="7">
        <v>65</v>
      </c>
      <c r="AB1380" s="7">
        <f t="shared" si="109"/>
        <v>11.666666666666666</v>
      </c>
      <c r="AC1380" s="7">
        <f t="shared" si="106"/>
        <v>11.666666666666666</v>
      </c>
      <c r="AD1380" s="7"/>
      <c r="AE1380" s="7"/>
      <c r="AF1380" s="7"/>
      <c r="AG1380" s="7"/>
      <c r="AH1380" s="7"/>
      <c r="AI1380" s="7"/>
      <c r="AJ1380" s="10" t="s">
        <v>2394</v>
      </c>
      <c r="AK1380" s="7"/>
      <c r="AL1380" s="9"/>
      <c r="AM1380" s="7" t="s">
        <v>42</v>
      </c>
      <c r="AN1380" s="7" t="s">
        <v>42</v>
      </c>
      <c r="AO1380" s="12"/>
    </row>
    <row r="1381" spans="1:41" s="11" customFormat="1" ht="24" x14ac:dyDescent="0.25">
      <c r="A1381" s="2">
        <v>1380</v>
      </c>
      <c r="B1381" s="7" t="s">
        <v>1147</v>
      </c>
      <c r="C1381" s="7" t="s">
        <v>174</v>
      </c>
      <c r="D1381" s="7" t="s">
        <v>1161</v>
      </c>
      <c r="E1381" s="7">
        <v>53</v>
      </c>
      <c r="F1381" s="8">
        <v>1</v>
      </c>
      <c r="G1381" s="8">
        <v>4</v>
      </c>
      <c r="H1381" s="7">
        <v>4</v>
      </c>
      <c r="I1381" s="7">
        <v>4</v>
      </c>
      <c r="J1381" s="9" t="s">
        <v>77</v>
      </c>
      <c r="K1381" s="7">
        <v>1</v>
      </c>
      <c r="L1381" s="7" t="s">
        <v>38</v>
      </c>
      <c r="M1381" s="7">
        <f t="shared" si="105"/>
        <v>0</v>
      </c>
      <c r="N1381" s="9" t="s">
        <v>34</v>
      </c>
      <c r="O1381" s="7">
        <v>1</v>
      </c>
      <c r="P1381" s="9" t="s">
        <v>33</v>
      </c>
      <c r="Q1381" s="7" t="s">
        <v>283</v>
      </c>
      <c r="R1381" s="7" t="s">
        <v>283</v>
      </c>
      <c r="S1381" s="10" t="s">
        <v>1753</v>
      </c>
      <c r="T1381" s="7">
        <v>10</v>
      </c>
      <c r="U1381" s="7">
        <v>10</v>
      </c>
      <c r="V1381" s="7">
        <v>150</v>
      </c>
      <c r="W1381" s="7" t="s">
        <v>79</v>
      </c>
      <c r="X1381" s="7">
        <v>3</v>
      </c>
      <c r="Y1381" s="7" t="s">
        <v>1154</v>
      </c>
      <c r="Z1381" s="7"/>
      <c r="AA1381" s="7"/>
      <c r="AB1381" s="7">
        <f t="shared" si="109"/>
        <v>4.333333333333333</v>
      </c>
      <c r="AC1381" s="7">
        <f t="shared" si="106"/>
        <v>0</v>
      </c>
      <c r="AD1381" s="7"/>
      <c r="AE1381" s="7">
        <v>1</v>
      </c>
      <c r="AF1381" s="7" t="s">
        <v>40</v>
      </c>
      <c r="AG1381" s="7" t="s">
        <v>1162</v>
      </c>
      <c r="AH1381" s="7"/>
      <c r="AI1381" s="7"/>
      <c r="AJ1381" s="7"/>
      <c r="AK1381" s="7"/>
      <c r="AL1381" s="9"/>
      <c r="AM1381" s="7" t="s">
        <v>42</v>
      </c>
      <c r="AN1381" s="7" t="s">
        <v>42</v>
      </c>
      <c r="AO1381" s="12"/>
    </row>
    <row r="1382" spans="1:41" s="11" customFormat="1" x14ac:dyDescent="0.25">
      <c r="A1382" s="2">
        <v>1381</v>
      </c>
      <c r="B1382" s="7" t="s">
        <v>1147</v>
      </c>
      <c r="C1382" s="7" t="s">
        <v>89</v>
      </c>
      <c r="D1382" s="7" t="s">
        <v>1163</v>
      </c>
      <c r="E1382" s="7">
        <v>11</v>
      </c>
      <c r="F1382" s="8">
        <v>3</v>
      </c>
      <c r="G1382" s="8">
        <v>4</v>
      </c>
      <c r="H1382" s="7" t="s">
        <v>143</v>
      </c>
      <c r="I1382" s="7">
        <v>4</v>
      </c>
      <c r="J1382" s="9" t="s">
        <v>77</v>
      </c>
      <c r="K1382" s="7">
        <v>1</v>
      </c>
      <c r="L1382" s="7" t="s">
        <v>38</v>
      </c>
      <c r="M1382" s="7">
        <f t="shared" si="105"/>
        <v>0</v>
      </c>
      <c r="N1382" s="9"/>
      <c r="O1382" s="7"/>
      <c r="P1382" s="9"/>
      <c r="Q1382" s="7"/>
      <c r="R1382" s="7"/>
      <c r="S1382" s="7"/>
      <c r="T1382" s="7"/>
      <c r="U1382" s="7"/>
      <c r="V1382" s="7"/>
      <c r="W1382" s="7"/>
      <c r="X1382" s="7">
        <v>3</v>
      </c>
      <c r="Y1382" s="7"/>
      <c r="Z1382" s="7"/>
      <c r="AA1382" s="7"/>
      <c r="AB1382" s="7">
        <f t="shared" si="109"/>
        <v>1</v>
      </c>
      <c r="AC1382" s="7">
        <f t="shared" si="106"/>
        <v>0</v>
      </c>
      <c r="AD1382" s="7"/>
      <c r="AE1382" s="7"/>
      <c r="AF1382" s="7"/>
      <c r="AG1382" s="7"/>
      <c r="AH1382" s="7"/>
      <c r="AI1382" s="7"/>
      <c r="AJ1382" s="7"/>
      <c r="AK1382" s="7"/>
      <c r="AL1382" s="9"/>
      <c r="AM1382" s="7" t="s">
        <v>71</v>
      </c>
      <c r="AN1382" s="7" t="s">
        <v>71</v>
      </c>
      <c r="AO1382" s="12"/>
    </row>
    <row r="1383" spans="1:41" s="11" customFormat="1" x14ac:dyDescent="0.25">
      <c r="A1383" s="2">
        <v>1382</v>
      </c>
      <c r="B1383" s="7" t="s">
        <v>1147</v>
      </c>
      <c r="C1383" s="7" t="s">
        <v>89</v>
      </c>
      <c r="D1383" s="7" t="s">
        <v>1164</v>
      </c>
      <c r="E1383" s="7">
        <f>34+7+6+4</f>
        <v>51</v>
      </c>
      <c r="F1383" s="8">
        <v>6</v>
      </c>
      <c r="G1383" s="9" t="s">
        <v>146</v>
      </c>
      <c r="H1383" s="7" t="s">
        <v>345</v>
      </c>
      <c r="I1383" s="7">
        <v>5</v>
      </c>
      <c r="J1383" s="9" t="s">
        <v>353</v>
      </c>
      <c r="K1383" s="7"/>
      <c r="L1383" s="7" t="s">
        <v>38</v>
      </c>
      <c r="M1383" s="7">
        <f t="shared" si="105"/>
        <v>0</v>
      </c>
      <c r="N1383" s="9"/>
      <c r="O1383" s="7"/>
      <c r="P1383" s="9"/>
      <c r="Q1383" s="7"/>
      <c r="R1383" s="7"/>
      <c r="S1383" s="7"/>
      <c r="T1383" s="7"/>
      <c r="U1383" s="7"/>
      <c r="V1383" s="7"/>
      <c r="W1383" s="7"/>
      <c r="X1383" s="7">
        <v>3</v>
      </c>
      <c r="Y1383" s="7"/>
      <c r="Z1383" s="7"/>
      <c r="AA1383" s="7"/>
      <c r="AB1383" s="7">
        <f t="shared" si="109"/>
        <v>1</v>
      </c>
      <c r="AC1383" s="7">
        <f t="shared" si="106"/>
        <v>0</v>
      </c>
      <c r="AD1383" s="7"/>
      <c r="AE1383" s="7"/>
      <c r="AF1383" s="7"/>
      <c r="AG1383" s="7"/>
      <c r="AH1383" s="7"/>
      <c r="AI1383" s="7"/>
      <c r="AJ1383" s="7"/>
      <c r="AK1383" s="7"/>
      <c r="AL1383" s="9"/>
      <c r="AM1383" s="7" t="s">
        <v>71</v>
      </c>
      <c r="AN1383" s="7" t="s">
        <v>71</v>
      </c>
      <c r="AO1383" s="15" t="s">
        <v>2595</v>
      </c>
    </row>
    <row r="1384" spans="1:41" s="11" customFormat="1" x14ac:dyDescent="0.25">
      <c r="A1384" s="2">
        <v>1383</v>
      </c>
      <c r="B1384" s="7" t="s">
        <v>1147</v>
      </c>
      <c r="C1384" s="7" t="s">
        <v>78</v>
      </c>
      <c r="D1384" s="7">
        <v>5</v>
      </c>
      <c r="E1384" s="7">
        <v>5</v>
      </c>
      <c r="F1384" s="8">
        <v>1</v>
      </c>
      <c r="G1384" s="8">
        <v>1</v>
      </c>
      <c r="H1384" s="7">
        <v>1</v>
      </c>
      <c r="I1384" s="7">
        <v>1</v>
      </c>
      <c r="J1384" s="9" t="s">
        <v>353</v>
      </c>
      <c r="K1384" s="7"/>
      <c r="L1384" s="7" t="s">
        <v>38</v>
      </c>
      <c r="M1384" s="7">
        <f t="shared" si="105"/>
        <v>0</v>
      </c>
      <c r="N1384" s="9" t="s">
        <v>82</v>
      </c>
      <c r="O1384" s="7">
        <v>0</v>
      </c>
      <c r="P1384" s="9" t="s">
        <v>36</v>
      </c>
      <c r="Q1384" s="7" t="s">
        <v>38</v>
      </c>
      <c r="R1384" s="7" t="s">
        <v>38</v>
      </c>
      <c r="S1384" s="10" t="s">
        <v>1537</v>
      </c>
      <c r="T1384" s="7" t="s">
        <v>92</v>
      </c>
      <c r="U1384" s="7">
        <v>3</v>
      </c>
      <c r="V1384" s="7" t="s">
        <v>199</v>
      </c>
      <c r="W1384" s="7" t="s">
        <v>88</v>
      </c>
      <c r="X1384" s="7"/>
      <c r="Y1384" s="7"/>
      <c r="Z1384" s="7"/>
      <c r="AA1384" s="7"/>
      <c r="AB1384" s="7">
        <f t="shared" si="109"/>
        <v>1</v>
      </c>
      <c r="AC1384" s="7">
        <f t="shared" si="106"/>
        <v>0</v>
      </c>
      <c r="AD1384" s="7"/>
      <c r="AE1384" s="7"/>
      <c r="AF1384" s="7"/>
      <c r="AG1384" s="7"/>
      <c r="AH1384" s="7"/>
      <c r="AI1384" s="7"/>
      <c r="AJ1384" s="7"/>
      <c r="AK1384" s="7"/>
      <c r="AL1384" s="9"/>
      <c r="AM1384" s="7" t="s">
        <v>71</v>
      </c>
      <c r="AN1384" s="7" t="s">
        <v>71</v>
      </c>
      <c r="AO1384" s="12"/>
    </row>
    <row r="1385" spans="1:41" s="11" customFormat="1" x14ac:dyDescent="0.25">
      <c r="A1385" s="2">
        <v>1384</v>
      </c>
      <c r="B1385" s="7" t="s">
        <v>1147</v>
      </c>
      <c r="C1385" s="7" t="s">
        <v>100</v>
      </c>
      <c r="D1385" s="7">
        <v>4</v>
      </c>
      <c r="E1385" s="7">
        <v>4</v>
      </c>
      <c r="F1385" s="8">
        <v>1</v>
      </c>
      <c r="G1385" s="8">
        <v>1</v>
      </c>
      <c r="H1385" s="7">
        <v>1</v>
      </c>
      <c r="I1385" s="7">
        <v>1</v>
      </c>
      <c r="J1385" s="9" t="s">
        <v>219</v>
      </c>
      <c r="K1385" s="7">
        <v>1</v>
      </c>
      <c r="L1385" s="7" t="s">
        <v>52</v>
      </c>
      <c r="M1385" s="7">
        <f t="shared" si="105"/>
        <v>1</v>
      </c>
      <c r="N1385" s="9"/>
      <c r="O1385" s="7"/>
      <c r="P1385" s="9"/>
      <c r="Q1385" s="7"/>
      <c r="R1385" s="7"/>
      <c r="S1385" s="7"/>
      <c r="T1385" s="7"/>
      <c r="U1385" s="7"/>
      <c r="V1385" s="7"/>
      <c r="W1385" s="7"/>
      <c r="X1385" s="7">
        <v>3</v>
      </c>
      <c r="Y1385" s="7"/>
      <c r="Z1385" s="7"/>
      <c r="AA1385" s="7"/>
      <c r="AB1385" s="7">
        <f t="shared" si="109"/>
        <v>1</v>
      </c>
      <c r="AC1385" s="7">
        <f t="shared" si="106"/>
        <v>1</v>
      </c>
      <c r="AD1385" s="7"/>
      <c r="AE1385" s="7"/>
      <c r="AF1385" s="7"/>
      <c r="AG1385" s="7"/>
      <c r="AH1385" s="7"/>
      <c r="AI1385" s="7"/>
      <c r="AJ1385" s="7"/>
      <c r="AK1385" s="7"/>
      <c r="AL1385" s="9"/>
      <c r="AM1385" s="7" t="s">
        <v>71</v>
      </c>
      <c r="AN1385" s="7" t="s">
        <v>71</v>
      </c>
      <c r="AO1385" s="12"/>
    </row>
    <row r="1386" spans="1:41" s="11" customFormat="1" x14ac:dyDescent="0.25">
      <c r="A1386" s="2">
        <v>1385</v>
      </c>
      <c r="B1386" s="7" t="s">
        <v>1147</v>
      </c>
      <c r="C1386" s="7" t="s">
        <v>50</v>
      </c>
      <c r="D1386" s="7">
        <v>25</v>
      </c>
      <c r="E1386" s="7">
        <v>25</v>
      </c>
      <c r="F1386" s="8">
        <v>1</v>
      </c>
      <c r="G1386" s="8">
        <v>1</v>
      </c>
      <c r="H1386" s="7">
        <v>1</v>
      </c>
      <c r="I1386" s="7">
        <v>1</v>
      </c>
      <c r="J1386" s="9" t="s">
        <v>176</v>
      </c>
      <c r="K1386" s="9" t="s">
        <v>633</v>
      </c>
      <c r="L1386" s="7" t="s">
        <v>52</v>
      </c>
      <c r="M1386" s="7">
        <f t="shared" si="105"/>
        <v>1</v>
      </c>
      <c r="N1386" s="9" t="s">
        <v>177</v>
      </c>
      <c r="O1386" s="7">
        <v>0</v>
      </c>
      <c r="P1386" s="9" t="s">
        <v>63</v>
      </c>
      <c r="Q1386" s="9" t="s">
        <v>38</v>
      </c>
      <c r="R1386" s="9" t="s">
        <v>38</v>
      </c>
      <c r="S1386" s="13" t="s">
        <v>2179</v>
      </c>
      <c r="T1386" s="7"/>
      <c r="U1386" s="7"/>
      <c r="V1386" s="7"/>
      <c r="W1386" s="7"/>
      <c r="X1386" s="7"/>
      <c r="Y1386" s="7">
        <v>25</v>
      </c>
      <c r="Z1386" s="7">
        <v>25</v>
      </c>
      <c r="AA1386" s="7">
        <v>80</v>
      </c>
      <c r="AB1386" s="7">
        <f t="shared" si="109"/>
        <v>8.3333333333333339</v>
      </c>
      <c r="AC1386" s="7">
        <f t="shared" si="106"/>
        <v>8.3333333333333339</v>
      </c>
      <c r="AD1386" s="7"/>
      <c r="AE1386" s="7"/>
      <c r="AF1386" s="7"/>
      <c r="AG1386" s="7"/>
      <c r="AH1386" s="7"/>
      <c r="AI1386" s="7"/>
      <c r="AJ1386" s="7"/>
      <c r="AK1386" s="7"/>
      <c r="AL1386" s="9"/>
      <c r="AM1386" s="7" t="s">
        <v>71</v>
      </c>
      <c r="AN1386" s="7" t="s">
        <v>71</v>
      </c>
      <c r="AO1386" s="12"/>
    </row>
    <row r="1387" spans="1:41" s="11" customFormat="1" x14ac:dyDescent="0.25">
      <c r="A1387" s="2">
        <v>1386</v>
      </c>
      <c r="B1387" s="7" t="s">
        <v>1147</v>
      </c>
      <c r="C1387" s="7" t="s">
        <v>50</v>
      </c>
      <c r="D1387" s="7" t="s">
        <v>1165</v>
      </c>
      <c r="E1387" s="7">
        <v>35</v>
      </c>
      <c r="F1387" s="8">
        <v>1</v>
      </c>
      <c r="G1387" s="9" t="s">
        <v>196</v>
      </c>
      <c r="H1387" s="7">
        <v>2</v>
      </c>
      <c r="I1387" s="7">
        <v>2</v>
      </c>
      <c r="J1387" s="9" t="s">
        <v>176</v>
      </c>
      <c r="K1387" s="7"/>
      <c r="L1387" s="7" t="s">
        <v>52</v>
      </c>
      <c r="M1387" s="7">
        <f t="shared" si="105"/>
        <v>1</v>
      </c>
      <c r="N1387" s="9" t="s">
        <v>177</v>
      </c>
      <c r="O1387" s="7">
        <v>0</v>
      </c>
      <c r="P1387" s="9" t="s">
        <v>63</v>
      </c>
      <c r="Q1387" s="7" t="s">
        <v>38</v>
      </c>
      <c r="R1387" s="7" t="s">
        <v>38</v>
      </c>
      <c r="S1387" s="10" t="s">
        <v>2180</v>
      </c>
      <c r="T1387" s="7"/>
      <c r="U1387" s="7"/>
      <c r="V1387" s="7"/>
      <c r="W1387" s="7"/>
      <c r="X1387" s="7"/>
      <c r="Y1387" s="7">
        <v>35</v>
      </c>
      <c r="Z1387" s="7">
        <v>35</v>
      </c>
      <c r="AA1387" s="7">
        <v>70</v>
      </c>
      <c r="AB1387" s="7">
        <f t="shared" si="109"/>
        <v>11.666666666666666</v>
      </c>
      <c r="AC1387" s="7">
        <f t="shared" si="106"/>
        <v>11.666666666666666</v>
      </c>
      <c r="AD1387" s="7"/>
      <c r="AE1387" s="7">
        <v>1</v>
      </c>
      <c r="AF1387" s="7"/>
      <c r="AG1387" s="7" t="s">
        <v>1166</v>
      </c>
      <c r="AH1387" s="7"/>
      <c r="AI1387" s="7"/>
      <c r="AJ1387" s="7"/>
      <c r="AK1387" s="7"/>
      <c r="AL1387" s="9"/>
      <c r="AM1387" s="7" t="s">
        <v>71</v>
      </c>
      <c r="AN1387" s="7" t="s">
        <v>71</v>
      </c>
      <c r="AO1387" s="12"/>
    </row>
    <row r="1388" spans="1:41" s="11" customFormat="1" x14ac:dyDescent="0.25">
      <c r="A1388" s="2">
        <v>1387</v>
      </c>
      <c r="B1388" s="7" t="s">
        <v>1147</v>
      </c>
      <c r="C1388" s="7" t="s">
        <v>100</v>
      </c>
      <c r="D1388" s="7">
        <v>7</v>
      </c>
      <c r="E1388" s="7">
        <v>7</v>
      </c>
      <c r="F1388" s="8">
        <v>1</v>
      </c>
      <c r="G1388" s="8">
        <v>1</v>
      </c>
      <c r="H1388" s="7">
        <v>1</v>
      </c>
      <c r="I1388" s="7">
        <v>1</v>
      </c>
      <c r="J1388" s="9" t="s">
        <v>176</v>
      </c>
      <c r="K1388" s="7">
        <v>5</v>
      </c>
      <c r="L1388" s="7" t="s">
        <v>52</v>
      </c>
      <c r="M1388" s="7">
        <f t="shared" si="105"/>
        <v>1</v>
      </c>
      <c r="N1388" s="9"/>
      <c r="O1388" s="7"/>
      <c r="P1388" s="9"/>
      <c r="Q1388" s="7"/>
      <c r="R1388" s="7"/>
      <c r="S1388" s="7"/>
      <c r="T1388" s="7"/>
      <c r="U1388" s="7"/>
      <c r="V1388" s="7"/>
      <c r="W1388" s="7"/>
      <c r="X1388" s="7">
        <v>3</v>
      </c>
      <c r="Y1388" s="7"/>
      <c r="Z1388" s="7"/>
      <c r="AA1388" s="7"/>
      <c r="AB1388" s="7">
        <f t="shared" si="109"/>
        <v>1</v>
      </c>
      <c r="AC1388" s="7">
        <f t="shared" si="106"/>
        <v>1</v>
      </c>
      <c r="AD1388" s="7"/>
      <c r="AE1388" s="7"/>
      <c r="AF1388" s="7"/>
      <c r="AG1388" s="7"/>
      <c r="AH1388" s="7"/>
      <c r="AI1388" s="7"/>
      <c r="AJ1388" s="7" t="s">
        <v>1167</v>
      </c>
      <c r="AK1388" s="7"/>
      <c r="AL1388" s="9"/>
      <c r="AM1388" s="7" t="s">
        <v>71</v>
      </c>
      <c r="AN1388" s="7" t="s">
        <v>71</v>
      </c>
      <c r="AO1388" s="12"/>
    </row>
    <row r="1389" spans="1:41" s="11" customFormat="1" ht="24" x14ac:dyDescent="0.25">
      <c r="A1389" s="2">
        <v>1388</v>
      </c>
      <c r="B1389" s="7" t="s">
        <v>1137</v>
      </c>
      <c r="C1389" s="7" t="s">
        <v>78</v>
      </c>
      <c r="D1389" s="7">
        <v>23</v>
      </c>
      <c r="E1389" s="7">
        <v>23</v>
      </c>
      <c r="F1389" s="8">
        <v>1</v>
      </c>
      <c r="G1389" s="8">
        <v>1</v>
      </c>
      <c r="H1389" s="7">
        <v>1</v>
      </c>
      <c r="I1389" s="7">
        <v>1</v>
      </c>
      <c r="J1389" s="9" t="s">
        <v>176</v>
      </c>
      <c r="K1389" s="7">
        <v>3</v>
      </c>
      <c r="L1389" s="7" t="s">
        <v>52</v>
      </c>
      <c r="M1389" s="7">
        <f t="shared" si="105"/>
        <v>1</v>
      </c>
      <c r="N1389" s="9" t="s">
        <v>177</v>
      </c>
      <c r="O1389" s="7">
        <v>0</v>
      </c>
      <c r="P1389" s="9" t="s">
        <v>63</v>
      </c>
      <c r="Q1389" s="7" t="s">
        <v>38</v>
      </c>
      <c r="R1389" s="7" t="s">
        <v>52</v>
      </c>
      <c r="S1389" s="10" t="s">
        <v>1565</v>
      </c>
      <c r="T1389" s="7" t="s">
        <v>92</v>
      </c>
      <c r="U1389" s="7">
        <v>3</v>
      </c>
      <c r="V1389" s="7" t="s">
        <v>76</v>
      </c>
      <c r="W1389" s="7" t="s">
        <v>331</v>
      </c>
      <c r="X1389" s="7"/>
      <c r="Y1389" s="7"/>
      <c r="Z1389" s="7"/>
      <c r="AA1389" s="7"/>
      <c r="AB1389" s="7">
        <f t="shared" si="109"/>
        <v>1</v>
      </c>
      <c r="AC1389" s="7">
        <f t="shared" si="106"/>
        <v>1</v>
      </c>
      <c r="AD1389" s="7"/>
      <c r="AE1389" s="7"/>
      <c r="AF1389" s="7"/>
      <c r="AG1389" s="7"/>
      <c r="AH1389" s="7"/>
      <c r="AI1389" s="7"/>
      <c r="AJ1389" s="7"/>
      <c r="AK1389" s="7"/>
      <c r="AL1389" s="9"/>
      <c r="AM1389" s="7" t="s">
        <v>215</v>
      </c>
      <c r="AN1389" s="7" t="s">
        <v>2850</v>
      </c>
      <c r="AO1389" s="12"/>
    </row>
    <row r="1390" spans="1:41" s="11" customFormat="1" x14ac:dyDescent="0.25">
      <c r="A1390" s="2">
        <v>1389</v>
      </c>
      <c r="B1390" s="7" t="s">
        <v>1147</v>
      </c>
      <c r="C1390" s="7" t="s">
        <v>50</v>
      </c>
      <c r="D1390" s="7">
        <v>37</v>
      </c>
      <c r="E1390" s="7">
        <v>37</v>
      </c>
      <c r="F1390" s="8">
        <v>1</v>
      </c>
      <c r="G1390" s="8">
        <v>1</v>
      </c>
      <c r="H1390" s="7">
        <v>1</v>
      </c>
      <c r="I1390" s="7">
        <v>1</v>
      </c>
      <c r="J1390" s="9" t="s">
        <v>176</v>
      </c>
      <c r="K1390" s="7">
        <v>2</v>
      </c>
      <c r="L1390" s="7" t="s">
        <v>52</v>
      </c>
      <c r="M1390" s="7">
        <f t="shared" si="105"/>
        <v>1</v>
      </c>
      <c r="N1390" s="9" t="s">
        <v>177</v>
      </c>
      <c r="O1390" s="7">
        <v>0</v>
      </c>
      <c r="P1390" s="9" t="s">
        <v>63</v>
      </c>
      <c r="Q1390" s="7" t="s">
        <v>38</v>
      </c>
      <c r="R1390" s="7" t="s">
        <v>38</v>
      </c>
      <c r="S1390" s="10" t="s">
        <v>1960</v>
      </c>
      <c r="T1390" s="7"/>
      <c r="U1390" s="7"/>
      <c r="V1390" s="7"/>
      <c r="W1390" s="7"/>
      <c r="X1390" s="7"/>
      <c r="Y1390" s="7">
        <v>17</v>
      </c>
      <c r="Z1390" s="7">
        <v>17</v>
      </c>
      <c r="AA1390" s="7">
        <v>80</v>
      </c>
      <c r="AB1390" s="7">
        <f t="shared" si="109"/>
        <v>5.666666666666667</v>
      </c>
      <c r="AC1390" s="7">
        <f t="shared" si="106"/>
        <v>5.666666666666667</v>
      </c>
      <c r="AD1390" s="7"/>
      <c r="AE1390" s="7"/>
      <c r="AF1390" s="7"/>
      <c r="AG1390" s="7"/>
      <c r="AH1390" s="7"/>
      <c r="AI1390" s="7"/>
      <c r="AJ1390" s="7"/>
      <c r="AK1390" s="7"/>
      <c r="AL1390" s="9"/>
      <c r="AM1390" s="7" t="s">
        <v>71</v>
      </c>
      <c r="AN1390" s="7" t="s">
        <v>71</v>
      </c>
      <c r="AO1390" s="12"/>
    </row>
    <row r="1391" spans="1:41" s="11" customFormat="1" x14ac:dyDescent="0.25">
      <c r="A1391" s="2">
        <v>1390</v>
      </c>
      <c r="B1391" s="7" t="s">
        <v>547</v>
      </c>
      <c r="C1391" s="7" t="s">
        <v>50</v>
      </c>
      <c r="D1391" s="7">
        <v>22</v>
      </c>
      <c r="E1391" s="7">
        <v>22</v>
      </c>
      <c r="F1391" s="8">
        <v>1</v>
      </c>
      <c r="G1391" s="8">
        <v>1</v>
      </c>
      <c r="H1391" s="7">
        <v>1</v>
      </c>
      <c r="I1391" s="7">
        <v>1</v>
      </c>
      <c r="J1391" s="9" t="s">
        <v>176</v>
      </c>
      <c r="K1391" s="7">
        <v>2</v>
      </c>
      <c r="L1391" s="7" t="s">
        <v>52</v>
      </c>
      <c r="M1391" s="7">
        <f t="shared" si="105"/>
        <v>1</v>
      </c>
      <c r="N1391" s="9" t="s">
        <v>177</v>
      </c>
      <c r="O1391" s="7">
        <v>0</v>
      </c>
      <c r="P1391" s="9" t="s">
        <v>63</v>
      </c>
      <c r="Q1391" s="7" t="s">
        <v>38</v>
      </c>
      <c r="R1391" s="7" t="s">
        <v>38</v>
      </c>
      <c r="S1391" s="10" t="s">
        <v>1960</v>
      </c>
      <c r="T1391" s="7"/>
      <c r="U1391" s="7"/>
      <c r="V1391" s="7"/>
      <c r="W1391" s="7"/>
      <c r="X1391" s="7"/>
      <c r="Y1391" s="7" t="s">
        <v>1168</v>
      </c>
      <c r="Z1391" s="7">
        <v>8</v>
      </c>
      <c r="AA1391" s="7" t="s">
        <v>81</v>
      </c>
      <c r="AB1391" s="7">
        <f t="shared" si="109"/>
        <v>2.6666666666666665</v>
      </c>
      <c r="AC1391" s="7">
        <f t="shared" si="106"/>
        <v>2.6666666666666665</v>
      </c>
      <c r="AD1391" s="7"/>
      <c r="AE1391" s="7"/>
      <c r="AF1391" s="7"/>
      <c r="AG1391" s="7"/>
      <c r="AH1391" s="7"/>
      <c r="AI1391" s="7"/>
      <c r="AJ1391" s="7"/>
      <c r="AK1391" s="7"/>
      <c r="AL1391" s="9"/>
      <c r="AM1391" s="7" t="s">
        <v>71</v>
      </c>
      <c r="AN1391" s="7" t="s">
        <v>71</v>
      </c>
      <c r="AO1391" s="12"/>
    </row>
    <row r="1392" spans="1:41" s="11" customFormat="1" ht="24" x14ac:dyDescent="0.25">
      <c r="A1392" s="2">
        <v>1391</v>
      </c>
      <c r="B1392" s="7" t="s">
        <v>1147</v>
      </c>
      <c r="C1392" s="7" t="s">
        <v>78</v>
      </c>
      <c r="D1392" s="7">
        <v>22</v>
      </c>
      <c r="E1392" s="7">
        <v>22</v>
      </c>
      <c r="F1392" s="8">
        <v>1</v>
      </c>
      <c r="G1392" s="8">
        <v>1</v>
      </c>
      <c r="H1392" s="7">
        <v>1</v>
      </c>
      <c r="I1392" s="7">
        <v>1</v>
      </c>
      <c r="J1392" s="9" t="s">
        <v>176</v>
      </c>
      <c r="K1392" s="7">
        <v>2</v>
      </c>
      <c r="L1392" s="7" t="s">
        <v>52</v>
      </c>
      <c r="M1392" s="7">
        <f t="shared" si="105"/>
        <v>1</v>
      </c>
      <c r="N1392" s="9" t="s">
        <v>177</v>
      </c>
      <c r="O1392" s="7">
        <v>0</v>
      </c>
      <c r="P1392" s="9" t="s">
        <v>63</v>
      </c>
      <c r="Q1392" s="7" t="s">
        <v>38</v>
      </c>
      <c r="R1392" s="7" t="s">
        <v>52</v>
      </c>
      <c r="S1392" s="10" t="s">
        <v>2181</v>
      </c>
      <c r="T1392" s="7">
        <v>6</v>
      </c>
      <c r="U1392" s="7">
        <v>6</v>
      </c>
      <c r="V1392" s="7">
        <v>250</v>
      </c>
      <c r="W1392" s="7" t="s">
        <v>214</v>
      </c>
      <c r="X1392" s="7"/>
      <c r="Y1392" s="7"/>
      <c r="Z1392" s="7"/>
      <c r="AA1392" s="7"/>
      <c r="AB1392" s="7">
        <f t="shared" si="109"/>
        <v>2</v>
      </c>
      <c r="AC1392" s="7">
        <f t="shared" si="106"/>
        <v>2</v>
      </c>
      <c r="AD1392" s="7"/>
      <c r="AE1392" s="7"/>
      <c r="AF1392" s="7"/>
      <c r="AG1392" s="7"/>
      <c r="AH1392" s="7"/>
      <c r="AI1392" s="7"/>
      <c r="AJ1392" s="7"/>
      <c r="AK1392" s="7"/>
      <c r="AL1392" s="9"/>
      <c r="AM1392" s="7" t="s">
        <v>215</v>
      </c>
      <c r="AN1392" s="7" t="s">
        <v>2850</v>
      </c>
      <c r="AO1392" s="12"/>
    </row>
    <row r="1393" spans="1:41" s="11" customFormat="1" ht="36" x14ac:dyDescent="0.25">
      <c r="A1393" s="2">
        <v>1392</v>
      </c>
      <c r="B1393" s="7" t="s">
        <v>1147</v>
      </c>
      <c r="C1393" s="7" t="s">
        <v>78</v>
      </c>
      <c r="D1393" s="7" t="s">
        <v>1169</v>
      </c>
      <c r="E1393" s="7">
        <v>29</v>
      </c>
      <c r="F1393" s="8">
        <v>1</v>
      </c>
      <c r="G1393" s="8">
        <v>2</v>
      </c>
      <c r="H1393" s="7">
        <v>2</v>
      </c>
      <c r="I1393" s="7">
        <v>2</v>
      </c>
      <c r="J1393" s="9" t="s">
        <v>176</v>
      </c>
      <c r="K1393" s="7">
        <v>2</v>
      </c>
      <c r="L1393" s="7" t="s">
        <v>52</v>
      </c>
      <c r="M1393" s="7">
        <f t="shared" si="105"/>
        <v>1</v>
      </c>
      <c r="N1393" s="9" t="s">
        <v>177</v>
      </c>
      <c r="O1393" s="7">
        <v>0</v>
      </c>
      <c r="P1393" s="9" t="s">
        <v>63</v>
      </c>
      <c r="Q1393" s="7" t="s">
        <v>38</v>
      </c>
      <c r="R1393" s="7" t="s">
        <v>52</v>
      </c>
      <c r="S1393" s="10" t="s">
        <v>2182</v>
      </c>
      <c r="T1393" s="7">
        <v>11</v>
      </c>
      <c r="U1393" s="7">
        <v>11</v>
      </c>
      <c r="V1393" s="7">
        <v>240</v>
      </c>
      <c r="W1393" s="7" t="s">
        <v>1170</v>
      </c>
      <c r="X1393" s="7"/>
      <c r="Y1393" s="7"/>
      <c r="Z1393" s="7"/>
      <c r="AA1393" s="7"/>
      <c r="AB1393" s="7">
        <f t="shared" si="109"/>
        <v>3.6666666666666665</v>
      </c>
      <c r="AC1393" s="7">
        <f t="shared" si="106"/>
        <v>3.6666666666666665</v>
      </c>
      <c r="AD1393" s="7"/>
      <c r="AE1393" s="7"/>
      <c r="AF1393" s="7"/>
      <c r="AG1393" s="7"/>
      <c r="AH1393" s="7"/>
      <c r="AI1393" s="7"/>
      <c r="AJ1393" s="7"/>
      <c r="AK1393" s="7"/>
      <c r="AL1393" s="9"/>
      <c r="AM1393" s="7" t="s">
        <v>215</v>
      </c>
      <c r="AN1393" s="7" t="s">
        <v>2850</v>
      </c>
      <c r="AO1393" s="12"/>
    </row>
    <row r="1394" spans="1:41" s="11" customFormat="1" ht="24" x14ac:dyDescent="0.25">
      <c r="A1394" s="2">
        <v>1393</v>
      </c>
      <c r="B1394" s="7" t="s">
        <v>1147</v>
      </c>
      <c r="C1394" s="7" t="s">
        <v>78</v>
      </c>
      <c r="D1394" s="7">
        <v>7</v>
      </c>
      <c r="E1394" s="7">
        <v>7</v>
      </c>
      <c r="F1394" s="8">
        <v>1</v>
      </c>
      <c r="G1394" s="8">
        <v>1</v>
      </c>
      <c r="H1394" s="7">
        <v>1</v>
      </c>
      <c r="I1394" s="7">
        <v>1</v>
      </c>
      <c r="J1394" s="9" t="s">
        <v>176</v>
      </c>
      <c r="K1394" s="7">
        <v>2</v>
      </c>
      <c r="L1394" s="7" t="s">
        <v>52</v>
      </c>
      <c r="M1394" s="7">
        <f t="shared" si="105"/>
        <v>1</v>
      </c>
      <c r="N1394" s="9" t="s">
        <v>177</v>
      </c>
      <c r="O1394" s="7">
        <v>0</v>
      </c>
      <c r="P1394" s="9" t="s">
        <v>63</v>
      </c>
      <c r="Q1394" s="7" t="s">
        <v>38</v>
      </c>
      <c r="R1394" s="7" t="s">
        <v>52</v>
      </c>
      <c r="S1394" s="10" t="s">
        <v>2183</v>
      </c>
      <c r="T1394" s="7" t="s">
        <v>92</v>
      </c>
      <c r="U1394" s="7">
        <v>3</v>
      </c>
      <c r="V1394" s="7" t="s">
        <v>199</v>
      </c>
      <c r="W1394" s="7" t="s">
        <v>1116</v>
      </c>
      <c r="X1394" s="7"/>
      <c r="Y1394" s="7"/>
      <c r="Z1394" s="7"/>
      <c r="AA1394" s="7"/>
      <c r="AB1394" s="7">
        <f t="shared" si="109"/>
        <v>1</v>
      </c>
      <c r="AC1394" s="7">
        <f t="shared" si="106"/>
        <v>1</v>
      </c>
      <c r="AD1394" s="7"/>
      <c r="AE1394" s="7"/>
      <c r="AF1394" s="7"/>
      <c r="AG1394" s="7"/>
      <c r="AH1394" s="7"/>
      <c r="AI1394" s="7"/>
      <c r="AJ1394" s="7"/>
      <c r="AK1394" s="7"/>
      <c r="AL1394" s="9"/>
      <c r="AM1394" s="7" t="s">
        <v>71</v>
      </c>
      <c r="AN1394" s="7" t="s">
        <v>71</v>
      </c>
      <c r="AO1394" s="12"/>
    </row>
    <row r="1395" spans="1:41" s="11" customFormat="1" x14ac:dyDescent="0.25">
      <c r="A1395" s="2">
        <v>1394</v>
      </c>
      <c r="B1395" s="7" t="s">
        <v>1147</v>
      </c>
      <c r="C1395" s="7" t="s">
        <v>89</v>
      </c>
      <c r="D1395" s="7" t="s">
        <v>86</v>
      </c>
      <c r="E1395" s="7">
        <v>4</v>
      </c>
      <c r="F1395" s="8">
        <v>2</v>
      </c>
      <c r="G1395" s="8">
        <v>2</v>
      </c>
      <c r="H1395" s="7" t="s">
        <v>87</v>
      </c>
      <c r="I1395" s="7">
        <v>2</v>
      </c>
      <c r="J1395" s="9" t="s">
        <v>176</v>
      </c>
      <c r="K1395" s="7">
        <v>2</v>
      </c>
      <c r="L1395" s="7" t="s">
        <v>52</v>
      </c>
      <c r="M1395" s="7">
        <f t="shared" si="105"/>
        <v>2</v>
      </c>
      <c r="N1395" s="9"/>
      <c r="O1395" s="7"/>
      <c r="P1395" s="9"/>
      <c r="Q1395" s="7"/>
      <c r="R1395" s="7"/>
      <c r="S1395" s="7"/>
      <c r="T1395" s="7"/>
      <c r="U1395" s="7"/>
      <c r="V1395" s="7"/>
      <c r="W1395" s="7"/>
      <c r="X1395" s="7">
        <v>3</v>
      </c>
      <c r="Y1395" s="7"/>
      <c r="Z1395" s="7"/>
      <c r="AA1395" s="7"/>
      <c r="AB1395" s="7">
        <f t="shared" si="109"/>
        <v>1</v>
      </c>
      <c r="AC1395" s="7">
        <f t="shared" si="106"/>
        <v>1</v>
      </c>
      <c r="AD1395" s="7"/>
      <c r="AE1395" s="7"/>
      <c r="AF1395" s="7"/>
      <c r="AG1395" s="7"/>
      <c r="AH1395" s="7"/>
      <c r="AI1395" s="7"/>
      <c r="AJ1395" s="7"/>
      <c r="AK1395" s="7"/>
      <c r="AL1395" s="9"/>
      <c r="AM1395" s="7" t="s">
        <v>71</v>
      </c>
      <c r="AN1395" s="7" t="s">
        <v>71</v>
      </c>
      <c r="AO1395" s="12"/>
    </row>
    <row r="1396" spans="1:41" s="11" customFormat="1" x14ac:dyDescent="0.25">
      <c r="A1396" s="2">
        <v>1395</v>
      </c>
      <c r="B1396" s="7" t="s">
        <v>1147</v>
      </c>
      <c r="C1396" s="7" t="s">
        <v>577</v>
      </c>
      <c r="D1396" s="7">
        <v>342</v>
      </c>
      <c r="E1396" s="7">
        <v>342</v>
      </c>
      <c r="F1396" s="8">
        <v>31</v>
      </c>
      <c r="G1396" s="8">
        <v>31</v>
      </c>
      <c r="H1396" s="7" t="s">
        <v>1171</v>
      </c>
      <c r="I1396" s="7">
        <v>31</v>
      </c>
      <c r="J1396" s="9" t="s">
        <v>639</v>
      </c>
      <c r="K1396" s="7"/>
      <c r="L1396" s="7" t="s">
        <v>38</v>
      </c>
      <c r="M1396" s="7">
        <f t="shared" si="105"/>
        <v>0</v>
      </c>
      <c r="N1396" s="9"/>
      <c r="O1396" s="7"/>
      <c r="P1396" s="9"/>
      <c r="Q1396" s="7"/>
      <c r="R1396" s="7"/>
      <c r="S1396" s="7"/>
      <c r="T1396" s="7"/>
      <c r="U1396" s="7"/>
      <c r="V1396" s="7"/>
      <c r="W1396" s="7"/>
      <c r="X1396" s="7"/>
      <c r="Y1396" s="7"/>
      <c r="Z1396" s="7"/>
      <c r="AA1396" s="7"/>
      <c r="AB1396" s="7">
        <v>0.33333333333333298</v>
      </c>
      <c r="AC1396" s="7">
        <f t="shared" si="106"/>
        <v>0</v>
      </c>
      <c r="AD1396" s="7"/>
      <c r="AE1396" s="7"/>
      <c r="AF1396" s="7"/>
      <c r="AG1396" s="7"/>
      <c r="AH1396" s="7"/>
      <c r="AI1396" s="7"/>
      <c r="AJ1396" s="7"/>
      <c r="AK1396" s="7"/>
      <c r="AL1396" s="9"/>
      <c r="AM1396" s="7"/>
      <c r="AN1396" s="7"/>
      <c r="AO1396" s="15" t="s">
        <v>2700</v>
      </c>
    </row>
    <row r="1397" spans="1:41" s="11" customFormat="1" x14ac:dyDescent="0.25">
      <c r="A1397" s="2">
        <v>1396</v>
      </c>
      <c r="B1397" s="7" t="s">
        <v>1147</v>
      </c>
      <c r="C1397" s="7" t="s">
        <v>577</v>
      </c>
      <c r="D1397" s="7">
        <v>259</v>
      </c>
      <c r="E1397" s="7">
        <v>259</v>
      </c>
      <c r="F1397" s="8">
        <v>13</v>
      </c>
      <c r="G1397" s="8">
        <v>16</v>
      </c>
      <c r="H1397" s="7" t="s">
        <v>1172</v>
      </c>
      <c r="I1397" s="7">
        <v>16</v>
      </c>
      <c r="J1397" s="9" t="s">
        <v>639</v>
      </c>
      <c r="K1397" s="7"/>
      <c r="L1397" s="7" t="s">
        <v>38</v>
      </c>
      <c r="M1397" s="7">
        <f t="shared" si="105"/>
        <v>0</v>
      </c>
      <c r="N1397" s="9"/>
      <c r="O1397" s="7"/>
      <c r="P1397" s="9"/>
      <c r="Q1397" s="7"/>
      <c r="R1397" s="7"/>
      <c r="S1397" s="7"/>
      <c r="T1397" s="7"/>
      <c r="U1397" s="7"/>
      <c r="V1397" s="7"/>
      <c r="W1397" s="7"/>
      <c r="X1397" s="7"/>
      <c r="Y1397" s="7"/>
      <c r="Z1397" s="7"/>
      <c r="AA1397" s="7"/>
      <c r="AB1397" s="7">
        <v>0.33333333333333298</v>
      </c>
      <c r="AC1397" s="7">
        <f t="shared" si="106"/>
        <v>0</v>
      </c>
      <c r="AD1397" s="7"/>
      <c r="AE1397" s="7"/>
      <c r="AF1397" s="7"/>
      <c r="AG1397" s="7"/>
      <c r="AH1397" s="7"/>
      <c r="AI1397" s="7"/>
      <c r="AJ1397" s="7"/>
      <c r="AK1397" s="7"/>
      <c r="AL1397" s="9"/>
      <c r="AM1397" s="7"/>
      <c r="AN1397" s="7"/>
      <c r="AO1397" s="15" t="s">
        <v>2701</v>
      </c>
    </row>
    <row r="1398" spans="1:41" s="11" customFormat="1" ht="24" x14ac:dyDescent="0.25">
      <c r="A1398" s="2">
        <v>1397</v>
      </c>
      <c r="B1398" s="7" t="s">
        <v>655</v>
      </c>
      <c r="C1398" s="7" t="s">
        <v>100</v>
      </c>
      <c r="D1398" s="7">
        <v>18</v>
      </c>
      <c r="E1398" s="7">
        <v>18</v>
      </c>
      <c r="F1398" s="8">
        <v>1</v>
      </c>
      <c r="G1398" s="8">
        <v>1</v>
      </c>
      <c r="H1398" s="7">
        <v>1</v>
      </c>
      <c r="I1398" s="7">
        <v>1</v>
      </c>
      <c r="J1398" s="9" t="s">
        <v>176</v>
      </c>
      <c r="K1398" s="7">
        <v>2</v>
      </c>
      <c r="L1398" s="7" t="s">
        <v>52</v>
      </c>
      <c r="M1398" s="7">
        <f t="shared" si="105"/>
        <v>1</v>
      </c>
      <c r="N1398" s="9" t="s">
        <v>177</v>
      </c>
      <c r="O1398" s="7">
        <v>0</v>
      </c>
      <c r="P1398" s="9" t="s">
        <v>63</v>
      </c>
      <c r="Q1398" s="7" t="s">
        <v>38</v>
      </c>
      <c r="R1398" s="7" t="s">
        <v>38</v>
      </c>
      <c r="S1398" s="10" t="s">
        <v>2184</v>
      </c>
      <c r="T1398" s="7"/>
      <c r="U1398" s="7"/>
      <c r="V1398" s="7"/>
      <c r="W1398" s="7"/>
      <c r="X1398" s="7">
        <v>3</v>
      </c>
      <c r="Y1398" s="7"/>
      <c r="Z1398" s="7"/>
      <c r="AA1398" s="7"/>
      <c r="AB1398" s="7">
        <f t="shared" ref="AB1398:AB1409" si="110">(U1398+X1398+Z1398)/3</f>
        <v>1</v>
      </c>
      <c r="AC1398" s="7">
        <f t="shared" si="106"/>
        <v>1</v>
      </c>
      <c r="AD1398" s="7"/>
      <c r="AE1398" s="7"/>
      <c r="AF1398" s="7"/>
      <c r="AG1398" s="7"/>
      <c r="AH1398" s="7"/>
      <c r="AI1398" s="7"/>
      <c r="AJ1398" s="7"/>
      <c r="AK1398" s="7"/>
      <c r="AL1398" s="9"/>
      <c r="AM1398" s="7" t="s">
        <v>71</v>
      </c>
      <c r="AN1398" s="7" t="s">
        <v>71</v>
      </c>
      <c r="AO1398" s="12"/>
    </row>
    <row r="1399" spans="1:41" s="11" customFormat="1" x14ac:dyDescent="0.25">
      <c r="A1399" s="2">
        <v>1398</v>
      </c>
      <c r="B1399" s="7" t="s">
        <v>1173</v>
      </c>
      <c r="C1399" s="7" t="s">
        <v>104</v>
      </c>
      <c r="D1399" s="7">
        <v>141</v>
      </c>
      <c r="E1399" s="7">
        <v>141</v>
      </c>
      <c r="F1399" s="8">
        <v>1</v>
      </c>
      <c r="G1399" s="8">
        <v>1</v>
      </c>
      <c r="H1399" s="7">
        <v>1</v>
      </c>
      <c r="I1399" s="7">
        <v>1</v>
      </c>
      <c r="J1399" s="9" t="s">
        <v>35</v>
      </c>
      <c r="K1399" s="7">
        <v>2</v>
      </c>
      <c r="L1399" s="7" t="s">
        <v>52</v>
      </c>
      <c r="M1399" s="7">
        <f t="shared" si="105"/>
        <v>1</v>
      </c>
      <c r="N1399" s="9" t="s">
        <v>34</v>
      </c>
      <c r="O1399" s="7">
        <v>0</v>
      </c>
      <c r="P1399" s="9" t="s">
        <v>63</v>
      </c>
      <c r="Q1399" s="7" t="s">
        <v>38</v>
      </c>
      <c r="R1399" s="7" t="s">
        <v>38</v>
      </c>
      <c r="S1399" s="10" t="s">
        <v>2185</v>
      </c>
      <c r="T1399" s="7"/>
      <c r="U1399" s="7"/>
      <c r="V1399" s="7"/>
      <c r="W1399" s="7"/>
      <c r="X1399" s="7">
        <v>3</v>
      </c>
      <c r="Y1399" s="7"/>
      <c r="Z1399" s="7"/>
      <c r="AA1399" s="7"/>
      <c r="AB1399" s="7">
        <f t="shared" si="110"/>
        <v>1</v>
      </c>
      <c r="AC1399" s="7">
        <f t="shared" si="106"/>
        <v>1</v>
      </c>
      <c r="AD1399" s="7"/>
      <c r="AE1399" s="7">
        <v>1</v>
      </c>
      <c r="AF1399" s="7" t="s">
        <v>40</v>
      </c>
      <c r="AG1399" s="7" t="s">
        <v>1025</v>
      </c>
      <c r="AH1399" s="7"/>
      <c r="AI1399" s="7"/>
      <c r="AJ1399" s="7"/>
      <c r="AK1399" s="7"/>
      <c r="AL1399" s="9"/>
      <c r="AM1399" s="7" t="s">
        <v>71</v>
      </c>
      <c r="AN1399" s="7" t="s">
        <v>71</v>
      </c>
      <c r="AO1399" s="15" t="s">
        <v>2702</v>
      </c>
    </row>
    <row r="1400" spans="1:41" s="11" customFormat="1" x14ac:dyDescent="0.25">
      <c r="A1400" s="2">
        <v>1399</v>
      </c>
      <c r="B1400" s="7" t="s">
        <v>1173</v>
      </c>
      <c r="C1400" s="7" t="s">
        <v>89</v>
      </c>
      <c r="D1400" s="7" t="s">
        <v>159</v>
      </c>
      <c r="E1400" s="7">
        <v>6</v>
      </c>
      <c r="F1400" s="8">
        <v>2</v>
      </c>
      <c r="G1400" s="8">
        <v>2</v>
      </c>
      <c r="H1400" s="7" t="s">
        <v>87</v>
      </c>
      <c r="I1400" s="7">
        <v>2</v>
      </c>
      <c r="J1400" s="9" t="s">
        <v>35</v>
      </c>
      <c r="K1400" s="7">
        <v>2</v>
      </c>
      <c r="L1400" s="7" t="s">
        <v>52</v>
      </c>
      <c r="M1400" s="7">
        <f t="shared" si="105"/>
        <v>2</v>
      </c>
      <c r="N1400" s="9"/>
      <c r="O1400" s="7"/>
      <c r="P1400" s="9"/>
      <c r="Q1400" s="7"/>
      <c r="R1400" s="7"/>
      <c r="S1400" s="7"/>
      <c r="T1400" s="7"/>
      <c r="U1400" s="7"/>
      <c r="V1400" s="7"/>
      <c r="W1400" s="7"/>
      <c r="X1400" s="7">
        <v>3</v>
      </c>
      <c r="Y1400" s="7"/>
      <c r="Z1400" s="7"/>
      <c r="AA1400" s="7"/>
      <c r="AB1400" s="7">
        <f t="shared" si="110"/>
        <v>1</v>
      </c>
      <c r="AC1400" s="7">
        <f t="shared" si="106"/>
        <v>1</v>
      </c>
      <c r="AD1400" s="7"/>
      <c r="AE1400" s="7"/>
      <c r="AF1400" s="7"/>
      <c r="AG1400" s="7"/>
      <c r="AH1400" s="7"/>
      <c r="AI1400" s="7"/>
      <c r="AJ1400" s="7"/>
      <c r="AK1400" s="7"/>
      <c r="AL1400" s="9"/>
      <c r="AM1400" s="7" t="s">
        <v>71</v>
      </c>
      <c r="AN1400" s="7" t="s">
        <v>71</v>
      </c>
      <c r="AO1400" s="15" t="s">
        <v>2703</v>
      </c>
    </row>
    <row r="1401" spans="1:41" s="11" customFormat="1" x14ac:dyDescent="0.25">
      <c r="A1401" s="2">
        <v>1400</v>
      </c>
      <c r="B1401" s="7" t="s">
        <v>1173</v>
      </c>
      <c r="C1401" s="7" t="s">
        <v>100</v>
      </c>
      <c r="D1401" s="7">
        <v>2</v>
      </c>
      <c r="E1401" s="7">
        <v>2</v>
      </c>
      <c r="F1401" s="8">
        <v>1</v>
      </c>
      <c r="G1401" s="8">
        <v>1</v>
      </c>
      <c r="H1401" s="7">
        <v>1</v>
      </c>
      <c r="I1401" s="7">
        <v>1</v>
      </c>
      <c r="J1401" s="9" t="s">
        <v>35</v>
      </c>
      <c r="K1401" s="7">
        <v>1</v>
      </c>
      <c r="L1401" s="7" t="s">
        <v>52</v>
      </c>
      <c r="M1401" s="7">
        <f t="shared" si="105"/>
        <v>1</v>
      </c>
      <c r="N1401" s="9" t="s">
        <v>36</v>
      </c>
      <c r="O1401" s="7">
        <v>0</v>
      </c>
      <c r="P1401" s="9" t="s">
        <v>37</v>
      </c>
      <c r="Q1401" s="7" t="s">
        <v>38</v>
      </c>
      <c r="R1401" s="7" t="s">
        <v>38</v>
      </c>
      <c r="S1401" s="7"/>
      <c r="T1401" s="7"/>
      <c r="U1401" s="7"/>
      <c r="V1401" s="7"/>
      <c r="W1401" s="7"/>
      <c r="X1401" s="7">
        <v>3</v>
      </c>
      <c r="Y1401" s="7"/>
      <c r="Z1401" s="7"/>
      <c r="AA1401" s="7"/>
      <c r="AB1401" s="7">
        <f t="shared" si="110"/>
        <v>1</v>
      </c>
      <c r="AC1401" s="7">
        <f t="shared" si="106"/>
        <v>1</v>
      </c>
      <c r="AD1401" s="7"/>
      <c r="AE1401" s="7">
        <v>1</v>
      </c>
      <c r="AF1401" s="7"/>
      <c r="AG1401" s="7" t="s">
        <v>1174</v>
      </c>
      <c r="AH1401" s="7" t="s">
        <v>38</v>
      </c>
      <c r="AI1401" s="7"/>
      <c r="AJ1401" s="7"/>
      <c r="AK1401" s="7"/>
      <c r="AL1401" s="9"/>
      <c r="AM1401" s="7" t="s">
        <v>71</v>
      </c>
      <c r="AN1401" s="7" t="s">
        <v>71</v>
      </c>
      <c r="AO1401" s="15" t="s">
        <v>2704</v>
      </c>
    </row>
    <row r="1402" spans="1:41" s="11" customFormat="1" x14ac:dyDescent="0.25">
      <c r="A1402" s="2">
        <v>1401</v>
      </c>
      <c r="B1402" s="7" t="s">
        <v>1173</v>
      </c>
      <c r="C1402" s="7" t="s">
        <v>89</v>
      </c>
      <c r="D1402" s="7" t="s">
        <v>1175</v>
      </c>
      <c r="E1402" s="7">
        <v>11</v>
      </c>
      <c r="F1402" s="8">
        <v>2</v>
      </c>
      <c r="G1402" s="8">
        <v>2</v>
      </c>
      <c r="H1402" s="7" t="s">
        <v>87</v>
      </c>
      <c r="I1402" s="7">
        <v>2</v>
      </c>
      <c r="J1402" s="9" t="s">
        <v>219</v>
      </c>
      <c r="K1402" s="7">
        <v>1</v>
      </c>
      <c r="L1402" s="7" t="s">
        <v>52</v>
      </c>
      <c r="M1402" s="7">
        <f t="shared" si="105"/>
        <v>2</v>
      </c>
      <c r="N1402" s="9"/>
      <c r="O1402" s="7"/>
      <c r="P1402" s="9"/>
      <c r="Q1402" s="7"/>
      <c r="R1402" s="7"/>
      <c r="S1402" s="7"/>
      <c r="T1402" s="7"/>
      <c r="U1402" s="7"/>
      <c r="V1402" s="7"/>
      <c r="W1402" s="7"/>
      <c r="X1402" s="7">
        <v>3</v>
      </c>
      <c r="Y1402" s="7"/>
      <c r="Z1402" s="7"/>
      <c r="AA1402" s="7"/>
      <c r="AB1402" s="7">
        <f t="shared" si="110"/>
        <v>1</v>
      </c>
      <c r="AC1402" s="7">
        <f t="shared" si="106"/>
        <v>1</v>
      </c>
      <c r="AD1402" s="7"/>
      <c r="AE1402" s="7"/>
      <c r="AF1402" s="7"/>
      <c r="AG1402" s="7"/>
      <c r="AH1402" s="7"/>
      <c r="AI1402" s="7"/>
      <c r="AJ1402" s="7"/>
      <c r="AK1402" s="7"/>
      <c r="AL1402" s="9"/>
      <c r="AM1402" s="7" t="s">
        <v>71</v>
      </c>
      <c r="AN1402" s="7" t="s">
        <v>71</v>
      </c>
      <c r="AO1402" s="12"/>
    </row>
    <row r="1403" spans="1:41" s="11" customFormat="1" ht="24" x14ac:dyDescent="0.25">
      <c r="A1403" s="2">
        <v>1402</v>
      </c>
      <c r="B1403" s="7" t="s">
        <v>1173</v>
      </c>
      <c r="C1403" s="7" t="s">
        <v>50</v>
      </c>
      <c r="D1403" s="7">
        <v>30</v>
      </c>
      <c r="E1403" s="7">
        <v>30</v>
      </c>
      <c r="F1403" s="8">
        <v>1</v>
      </c>
      <c r="G1403" s="8">
        <v>1</v>
      </c>
      <c r="H1403" s="7">
        <v>1</v>
      </c>
      <c r="I1403" s="7">
        <v>1</v>
      </c>
      <c r="J1403" s="9" t="s">
        <v>176</v>
      </c>
      <c r="K1403" s="7">
        <v>2</v>
      </c>
      <c r="L1403" s="7" t="s">
        <v>52</v>
      </c>
      <c r="M1403" s="7">
        <f t="shared" si="105"/>
        <v>1</v>
      </c>
      <c r="N1403" s="9" t="s">
        <v>177</v>
      </c>
      <c r="O1403" s="7">
        <v>0</v>
      </c>
      <c r="P1403" s="9" t="s">
        <v>63</v>
      </c>
      <c r="Q1403" s="7" t="s">
        <v>38</v>
      </c>
      <c r="R1403" s="7" t="s">
        <v>38</v>
      </c>
      <c r="S1403" s="10" t="s">
        <v>2186</v>
      </c>
      <c r="T1403" s="7"/>
      <c r="U1403" s="7"/>
      <c r="V1403" s="7"/>
      <c r="W1403" s="7"/>
      <c r="X1403" s="7"/>
      <c r="Y1403" s="7">
        <v>5</v>
      </c>
      <c r="Z1403" s="7">
        <v>5</v>
      </c>
      <c r="AA1403" s="7">
        <v>250</v>
      </c>
      <c r="AB1403" s="7">
        <f t="shared" si="110"/>
        <v>1.6666666666666667</v>
      </c>
      <c r="AC1403" s="7">
        <f t="shared" si="106"/>
        <v>1.6666666666666667</v>
      </c>
      <c r="AD1403" s="7"/>
      <c r="AE1403" s="7"/>
      <c r="AF1403" s="7"/>
      <c r="AG1403" s="7"/>
      <c r="AH1403" s="7"/>
      <c r="AI1403" s="10" t="s">
        <v>2316</v>
      </c>
      <c r="AJ1403" s="7"/>
      <c r="AK1403" s="7"/>
      <c r="AL1403" s="9"/>
      <c r="AM1403" s="7" t="s">
        <v>1176</v>
      </c>
      <c r="AN1403" s="7" t="s">
        <v>662</v>
      </c>
      <c r="AO1403" s="15" t="s">
        <v>2705</v>
      </c>
    </row>
    <row r="1404" spans="1:41" s="11" customFormat="1" ht="24" x14ac:dyDescent="0.25">
      <c r="A1404" s="2">
        <v>1403</v>
      </c>
      <c r="B1404" s="7" t="s">
        <v>1173</v>
      </c>
      <c r="C1404" s="7" t="s">
        <v>78</v>
      </c>
      <c r="D1404" s="7" t="s">
        <v>699</v>
      </c>
      <c r="E1404" s="7">
        <v>13</v>
      </c>
      <c r="F1404" s="8">
        <v>1</v>
      </c>
      <c r="G1404" s="9" t="s">
        <v>196</v>
      </c>
      <c r="H1404" s="7">
        <v>2</v>
      </c>
      <c r="I1404" s="7">
        <v>2</v>
      </c>
      <c r="J1404" s="9" t="s">
        <v>176</v>
      </c>
      <c r="K1404" s="7">
        <v>3</v>
      </c>
      <c r="L1404" s="7" t="s">
        <v>52</v>
      </c>
      <c r="M1404" s="7">
        <f t="shared" si="105"/>
        <v>1</v>
      </c>
      <c r="N1404" s="9" t="s">
        <v>177</v>
      </c>
      <c r="O1404" s="7">
        <v>0</v>
      </c>
      <c r="P1404" s="9" t="s">
        <v>63</v>
      </c>
      <c r="Q1404" s="7" t="s">
        <v>38</v>
      </c>
      <c r="R1404" s="7" t="s">
        <v>52</v>
      </c>
      <c r="S1404" s="10" t="s">
        <v>2187</v>
      </c>
      <c r="T1404" s="7">
        <v>9</v>
      </c>
      <c r="U1404" s="7">
        <v>9</v>
      </c>
      <c r="V1404" s="7">
        <v>220</v>
      </c>
      <c r="W1404" s="7" t="s">
        <v>629</v>
      </c>
      <c r="X1404" s="7"/>
      <c r="Y1404" s="7"/>
      <c r="Z1404" s="7"/>
      <c r="AA1404" s="7"/>
      <c r="AB1404" s="7">
        <f t="shared" si="110"/>
        <v>3</v>
      </c>
      <c r="AC1404" s="7">
        <f t="shared" si="106"/>
        <v>3</v>
      </c>
      <c r="AD1404" s="7"/>
      <c r="AE1404" s="7"/>
      <c r="AF1404" s="7"/>
      <c r="AG1404" s="7"/>
      <c r="AH1404" s="7"/>
      <c r="AI1404" s="10" t="s">
        <v>2317</v>
      </c>
      <c r="AJ1404" s="7"/>
      <c r="AK1404" s="7"/>
      <c r="AL1404" s="9"/>
      <c r="AM1404" s="7" t="s">
        <v>71</v>
      </c>
      <c r="AN1404" s="7" t="s">
        <v>71</v>
      </c>
      <c r="AO1404" s="15" t="s">
        <v>2706</v>
      </c>
    </row>
    <row r="1405" spans="1:41" s="11" customFormat="1" ht="24" x14ac:dyDescent="0.25">
      <c r="A1405" s="2">
        <v>1404</v>
      </c>
      <c r="B1405" s="7" t="s">
        <v>1173</v>
      </c>
      <c r="C1405" s="7" t="s">
        <v>78</v>
      </c>
      <c r="D1405" s="7">
        <v>4</v>
      </c>
      <c r="E1405" s="7">
        <v>4</v>
      </c>
      <c r="F1405" s="8">
        <v>1</v>
      </c>
      <c r="G1405" s="8">
        <v>1</v>
      </c>
      <c r="H1405" s="7">
        <v>1</v>
      </c>
      <c r="I1405" s="7">
        <v>1</v>
      </c>
      <c r="J1405" s="9" t="s">
        <v>176</v>
      </c>
      <c r="K1405" s="7">
        <v>3</v>
      </c>
      <c r="L1405" s="7" t="s">
        <v>52</v>
      </c>
      <c r="M1405" s="7">
        <f t="shared" si="105"/>
        <v>1</v>
      </c>
      <c r="N1405" s="9" t="s">
        <v>177</v>
      </c>
      <c r="O1405" s="7">
        <v>0</v>
      </c>
      <c r="P1405" s="9" t="s">
        <v>63</v>
      </c>
      <c r="Q1405" s="7" t="s">
        <v>38</v>
      </c>
      <c r="R1405" s="7" t="s">
        <v>52</v>
      </c>
      <c r="S1405" s="10" t="s">
        <v>2188</v>
      </c>
      <c r="T1405" s="7" t="s">
        <v>92</v>
      </c>
      <c r="U1405" s="7">
        <v>3</v>
      </c>
      <c r="V1405" s="7" t="s">
        <v>199</v>
      </c>
      <c r="W1405" s="7" t="s">
        <v>629</v>
      </c>
      <c r="X1405" s="7"/>
      <c r="Y1405" s="7"/>
      <c r="Z1405" s="7"/>
      <c r="AA1405" s="7"/>
      <c r="AB1405" s="7">
        <f t="shared" si="110"/>
        <v>1</v>
      </c>
      <c r="AC1405" s="7">
        <f t="shared" si="106"/>
        <v>1</v>
      </c>
      <c r="AD1405" s="7"/>
      <c r="AE1405" s="7"/>
      <c r="AF1405" s="7"/>
      <c r="AG1405" s="7"/>
      <c r="AH1405" s="7"/>
      <c r="AI1405" s="7"/>
      <c r="AJ1405" s="7"/>
      <c r="AK1405" s="7"/>
      <c r="AL1405" s="9"/>
      <c r="AM1405" s="7" t="s">
        <v>71</v>
      </c>
      <c r="AN1405" s="7" t="s">
        <v>71</v>
      </c>
      <c r="AO1405" s="15" t="s">
        <v>2707</v>
      </c>
    </row>
    <row r="1406" spans="1:41" s="11" customFormat="1" ht="24" x14ac:dyDescent="0.25">
      <c r="A1406" s="2">
        <v>1405</v>
      </c>
      <c r="B1406" s="7" t="s">
        <v>1173</v>
      </c>
      <c r="C1406" s="7" t="s">
        <v>89</v>
      </c>
      <c r="D1406" s="7" t="s">
        <v>1177</v>
      </c>
      <c r="E1406" s="7">
        <v>40</v>
      </c>
      <c r="F1406" s="8">
        <v>1</v>
      </c>
      <c r="G1406" s="8">
        <v>2</v>
      </c>
      <c r="H1406" s="7" t="s">
        <v>87</v>
      </c>
      <c r="I1406" s="7">
        <v>2</v>
      </c>
      <c r="J1406" s="9" t="s">
        <v>35</v>
      </c>
      <c r="K1406" s="7">
        <v>1</v>
      </c>
      <c r="L1406" s="7" t="s">
        <v>52</v>
      </c>
      <c r="M1406" s="7">
        <f t="shared" si="105"/>
        <v>1</v>
      </c>
      <c r="N1406" s="9" t="s">
        <v>34</v>
      </c>
      <c r="O1406" s="7">
        <v>0</v>
      </c>
      <c r="P1406" s="9" t="s">
        <v>63</v>
      </c>
      <c r="Q1406" s="7" t="s">
        <v>38</v>
      </c>
      <c r="R1406" s="7" t="s">
        <v>38</v>
      </c>
      <c r="S1406" s="10" t="s">
        <v>2189</v>
      </c>
      <c r="T1406" s="7"/>
      <c r="U1406" s="7"/>
      <c r="V1406" s="7"/>
      <c r="W1406" s="7"/>
      <c r="X1406" s="7">
        <v>5</v>
      </c>
      <c r="Y1406" s="7"/>
      <c r="Z1406" s="7"/>
      <c r="AA1406" s="7"/>
      <c r="AB1406" s="7">
        <f t="shared" si="110"/>
        <v>1.6666666666666667</v>
      </c>
      <c r="AC1406" s="7">
        <f t="shared" si="106"/>
        <v>1.6666666666666667</v>
      </c>
      <c r="AD1406" s="7"/>
      <c r="AE1406" s="7">
        <v>1</v>
      </c>
      <c r="AF1406" s="7"/>
      <c r="AG1406" s="7" t="s">
        <v>1174</v>
      </c>
      <c r="AH1406" s="7" t="s">
        <v>38</v>
      </c>
      <c r="AI1406" s="7"/>
      <c r="AJ1406" s="7"/>
      <c r="AK1406" s="7"/>
      <c r="AL1406" s="9"/>
      <c r="AM1406" s="7" t="s">
        <v>42</v>
      </c>
      <c r="AN1406" s="7" t="s">
        <v>42</v>
      </c>
      <c r="AO1406" s="12"/>
    </row>
    <row r="1407" spans="1:41" s="11" customFormat="1" x14ac:dyDescent="0.25">
      <c r="A1407" s="2">
        <v>1406</v>
      </c>
      <c r="B1407" s="7" t="s">
        <v>1173</v>
      </c>
      <c r="C1407" s="7" t="s">
        <v>100</v>
      </c>
      <c r="D1407" s="7">
        <v>8</v>
      </c>
      <c r="E1407" s="7">
        <v>8</v>
      </c>
      <c r="F1407" s="8">
        <v>1</v>
      </c>
      <c r="G1407" s="8">
        <v>1</v>
      </c>
      <c r="H1407" s="7">
        <v>1</v>
      </c>
      <c r="I1407" s="7">
        <v>1</v>
      </c>
      <c r="J1407" s="9" t="s">
        <v>35</v>
      </c>
      <c r="K1407" s="7">
        <v>2</v>
      </c>
      <c r="L1407" s="7" t="s">
        <v>52</v>
      </c>
      <c r="M1407" s="7">
        <f t="shared" si="105"/>
        <v>1</v>
      </c>
      <c r="N1407" s="9"/>
      <c r="O1407" s="7"/>
      <c r="P1407" s="9"/>
      <c r="Q1407" s="7"/>
      <c r="R1407" s="7"/>
      <c r="S1407" s="7"/>
      <c r="T1407" s="7"/>
      <c r="U1407" s="7"/>
      <c r="V1407" s="7"/>
      <c r="W1407" s="7"/>
      <c r="X1407" s="7">
        <v>3</v>
      </c>
      <c r="Y1407" s="7"/>
      <c r="Z1407" s="7"/>
      <c r="AA1407" s="7"/>
      <c r="AB1407" s="7">
        <f t="shared" si="110"/>
        <v>1</v>
      </c>
      <c r="AC1407" s="7">
        <f t="shared" si="106"/>
        <v>1</v>
      </c>
      <c r="AD1407" s="7"/>
      <c r="AE1407" s="7"/>
      <c r="AF1407" s="7"/>
      <c r="AG1407" s="7"/>
      <c r="AH1407" s="7"/>
      <c r="AI1407" s="7"/>
      <c r="AJ1407" s="7"/>
      <c r="AK1407" s="7"/>
      <c r="AL1407" s="9"/>
      <c r="AM1407" s="7" t="s">
        <v>71</v>
      </c>
      <c r="AN1407" s="7" t="s">
        <v>71</v>
      </c>
      <c r="AO1407" s="15" t="s">
        <v>2708</v>
      </c>
    </row>
    <row r="1408" spans="1:41" s="11" customFormat="1" x14ac:dyDescent="0.25">
      <c r="A1408" s="2">
        <v>1407</v>
      </c>
      <c r="B1408" s="7" t="s">
        <v>1173</v>
      </c>
      <c r="C1408" s="7" t="s">
        <v>104</v>
      </c>
      <c r="D1408" s="7">
        <v>13</v>
      </c>
      <c r="E1408" s="7">
        <v>13</v>
      </c>
      <c r="F1408" s="8">
        <v>1</v>
      </c>
      <c r="G1408" s="8">
        <v>1</v>
      </c>
      <c r="H1408" s="7">
        <v>1</v>
      </c>
      <c r="I1408" s="7">
        <v>1</v>
      </c>
      <c r="J1408" s="9" t="s">
        <v>70</v>
      </c>
      <c r="K1408" s="7">
        <v>1</v>
      </c>
      <c r="L1408" s="7" t="s">
        <v>52</v>
      </c>
      <c r="M1408" s="7">
        <f t="shared" si="105"/>
        <v>1</v>
      </c>
      <c r="N1408" s="9" t="s">
        <v>34</v>
      </c>
      <c r="O1408" s="7">
        <v>0</v>
      </c>
      <c r="P1408" s="9" t="s">
        <v>63</v>
      </c>
      <c r="Q1408" s="7" t="s">
        <v>38</v>
      </c>
      <c r="R1408" s="7" t="s">
        <v>38</v>
      </c>
      <c r="S1408" s="10" t="s">
        <v>2190</v>
      </c>
      <c r="T1408" s="7"/>
      <c r="U1408" s="7"/>
      <c r="V1408" s="7"/>
      <c r="W1408" s="7"/>
      <c r="X1408" s="7">
        <v>3</v>
      </c>
      <c r="Y1408" s="7"/>
      <c r="Z1408" s="7"/>
      <c r="AA1408" s="7"/>
      <c r="AB1408" s="7">
        <f t="shared" si="110"/>
        <v>1</v>
      </c>
      <c r="AC1408" s="7">
        <f t="shared" si="106"/>
        <v>1</v>
      </c>
      <c r="AD1408" s="7"/>
      <c r="AE1408" s="7">
        <v>1</v>
      </c>
      <c r="AF1408" s="7" t="s">
        <v>40</v>
      </c>
      <c r="AG1408" s="7" t="s">
        <v>1178</v>
      </c>
      <c r="AH1408" s="7"/>
      <c r="AI1408" s="7"/>
      <c r="AJ1408" s="7"/>
      <c r="AK1408" s="7"/>
      <c r="AL1408" s="9"/>
      <c r="AM1408" s="7" t="s">
        <v>71</v>
      </c>
      <c r="AN1408" s="7" t="s">
        <v>71</v>
      </c>
      <c r="AO1408" s="15" t="s">
        <v>2708</v>
      </c>
    </row>
    <row r="1409" spans="1:41" s="11" customFormat="1" x14ac:dyDescent="0.25">
      <c r="A1409" s="2">
        <v>1408</v>
      </c>
      <c r="B1409" s="7" t="s">
        <v>1173</v>
      </c>
      <c r="C1409" s="7" t="s">
        <v>100</v>
      </c>
      <c r="D1409" s="7">
        <v>8</v>
      </c>
      <c r="E1409" s="7">
        <v>8</v>
      </c>
      <c r="F1409" s="8">
        <v>1</v>
      </c>
      <c r="G1409" s="8">
        <v>1</v>
      </c>
      <c r="H1409" s="7">
        <v>1</v>
      </c>
      <c r="I1409" s="7">
        <v>1</v>
      </c>
      <c r="J1409" s="9" t="s">
        <v>219</v>
      </c>
      <c r="K1409" s="7">
        <v>1</v>
      </c>
      <c r="L1409" s="7" t="s">
        <v>52</v>
      </c>
      <c r="M1409" s="7">
        <f t="shared" si="105"/>
        <v>1</v>
      </c>
      <c r="N1409" s="9"/>
      <c r="O1409" s="7"/>
      <c r="P1409" s="9"/>
      <c r="Q1409" s="7"/>
      <c r="R1409" s="7"/>
      <c r="S1409" s="7"/>
      <c r="T1409" s="7"/>
      <c r="U1409" s="7"/>
      <c r="V1409" s="7"/>
      <c r="W1409" s="7"/>
      <c r="X1409" s="7">
        <v>3</v>
      </c>
      <c r="Y1409" s="7"/>
      <c r="Z1409" s="7"/>
      <c r="AA1409" s="7"/>
      <c r="AB1409" s="7">
        <f t="shared" si="110"/>
        <v>1</v>
      </c>
      <c r="AC1409" s="7">
        <f t="shared" si="106"/>
        <v>1</v>
      </c>
      <c r="AD1409" s="7"/>
      <c r="AE1409" s="7"/>
      <c r="AF1409" s="7"/>
      <c r="AG1409" s="7"/>
      <c r="AH1409" s="7"/>
      <c r="AI1409" s="7"/>
      <c r="AJ1409" s="7"/>
      <c r="AK1409" s="7"/>
      <c r="AL1409" s="9"/>
      <c r="AM1409" s="7" t="s">
        <v>71</v>
      </c>
      <c r="AN1409" s="7" t="s">
        <v>71</v>
      </c>
      <c r="AO1409" s="15" t="s">
        <v>2709</v>
      </c>
    </row>
    <row r="1410" spans="1:41" s="11" customFormat="1" x14ac:dyDescent="0.25">
      <c r="A1410" s="2">
        <v>1409</v>
      </c>
      <c r="B1410" s="7" t="s">
        <v>1173</v>
      </c>
      <c r="C1410" s="7" t="s">
        <v>119</v>
      </c>
      <c r="D1410" s="7">
        <v>15</v>
      </c>
      <c r="E1410" s="7">
        <v>15</v>
      </c>
      <c r="F1410" s="8">
        <v>1</v>
      </c>
      <c r="G1410" s="8">
        <v>1</v>
      </c>
      <c r="H1410" s="7">
        <v>1</v>
      </c>
      <c r="I1410" s="7">
        <v>1</v>
      </c>
      <c r="J1410" s="9" t="s">
        <v>176</v>
      </c>
      <c r="K1410" s="7">
        <v>2</v>
      </c>
      <c r="L1410" s="7" t="s">
        <v>52</v>
      </c>
      <c r="M1410" s="7">
        <f t="shared" ref="M1410:M1473" si="111">IF(L1410="n",F1410,0)</f>
        <v>1</v>
      </c>
      <c r="N1410" s="9" t="s">
        <v>177</v>
      </c>
      <c r="O1410" s="7">
        <v>0</v>
      </c>
      <c r="P1410" s="9" t="s">
        <v>63</v>
      </c>
      <c r="Q1410" s="7"/>
      <c r="R1410" s="7" t="s">
        <v>38</v>
      </c>
      <c r="S1410" s="10" t="s">
        <v>2191</v>
      </c>
      <c r="T1410" s="7"/>
      <c r="U1410" s="7"/>
      <c r="V1410" s="7"/>
      <c r="W1410" s="7"/>
      <c r="X1410" s="7"/>
      <c r="Y1410" s="7"/>
      <c r="Z1410" s="7"/>
      <c r="AA1410" s="7"/>
      <c r="AB1410" s="7">
        <v>0.33333333333333298</v>
      </c>
      <c r="AC1410" s="7">
        <f t="shared" ref="AC1410:AC1473" si="112">IF(L1410="n",AB1410,0)</f>
        <v>0.33333333333333298</v>
      </c>
      <c r="AD1410" s="7">
        <v>1</v>
      </c>
      <c r="AE1410" s="7"/>
      <c r="AF1410" s="7" t="s">
        <v>1179</v>
      </c>
      <c r="AG1410" s="7" t="s">
        <v>1180</v>
      </c>
      <c r="AH1410" s="7"/>
      <c r="AI1410" s="7"/>
      <c r="AJ1410" s="7"/>
      <c r="AK1410" s="7"/>
      <c r="AL1410" s="9"/>
      <c r="AM1410" s="7" t="s">
        <v>71</v>
      </c>
      <c r="AN1410" s="7" t="s">
        <v>71</v>
      </c>
      <c r="AO1410" s="15" t="s">
        <v>2710</v>
      </c>
    </row>
    <row r="1411" spans="1:41" s="11" customFormat="1" ht="24" x14ac:dyDescent="0.25">
      <c r="A1411" s="2">
        <v>1410</v>
      </c>
      <c r="B1411" s="7" t="s">
        <v>693</v>
      </c>
      <c r="C1411" s="7" t="s">
        <v>107</v>
      </c>
      <c r="D1411" s="7" t="s">
        <v>1181</v>
      </c>
      <c r="E1411" s="7">
        <f>291+46+22+19+11+9+9+2</f>
        <v>409</v>
      </c>
      <c r="F1411" s="8">
        <v>1</v>
      </c>
      <c r="G1411" s="9" t="s">
        <v>1182</v>
      </c>
      <c r="H1411" s="7" t="s">
        <v>1183</v>
      </c>
      <c r="I1411" s="7">
        <v>18</v>
      </c>
      <c r="J1411" s="9" t="s">
        <v>35</v>
      </c>
      <c r="K1411" s="7">
        <v>2</v>
      </c>
      <c r="L1411" s="7" t="s">
        <v>52</v>
      </c>
      <c r="M1411" s="7">
        <f t="shared" si="111"/>
        <v>1</v>
      </c>
      <c r="N1411" s="9" t="s">
        <v>34</v>
      </c>
      <c r="O1411" s="7">
        <v>3</v>
      </c>
      <c r="P1411" s="9" t="s">
        <v>37</v>
      </c>
      <c r="Q1411" s="7" t="s">
        <v>52</v>
      </c>
      <c r="R1411" s="7" t="s">
        <v>38</v>
      </c>
      <c r="S1411" s="10" t="s">
        <v>2192</v>
      </c>
      <c r="T1411" s="7"/>
      <c r="U1411" s="7"/>
      <c r="V1411" s="7"/>
      <c r="W1411" s="7"/>
      <c r="X1411" s="7">
        <v>15</v>
      </c>
      <c r="Y1411" s="7">
        <v>100</v>
      </c>
      <c r="Z1411" s="7">
        <v>100</v>
      </c>
      <c r="AA1411" s="7">
        <v>89</v>
      </c>
      <c r="AB1411" s="7">
        <f t="shared" ref="AB1411:AB1416" si="113">(U1411+X1411+Z1411)/3</f>
        <v>38.333333333333336</v>
      </c>
      <c r="AC1411" s="7">
        <f t="shared" si="112"/>
        <v>38.333333333333336</v>
      </c>
      <c r="AD1411" s="7"/>
      <c r="AE1411" s="7"/>
      <c r="AF1411" s="7"/>
      <c r="AG1411" s="7"/>
      <c r="AH1411" s="7"/>
      <c r="AI1411" s="7"/>
      <c r="AJ1411" s="10" t="s">
        <v>2361</v>
      </c>
      <c r="AK1411" s="7"/>
      <c r="AL1411" s="9"/>
      <c r="AM1411" s="7" t="s">
        <v>1149</v>
      </c>
      <c r="AN1411" s="7" t="s">
        <v>2847</v>
      </c>
      <c r="AO1411" s="15" t="s">
        <v>2711</v>
      </c>
    </row>
    <row r="1412" spans="1:41" s="11" customFormat="1" ht="24" x14ac:dyDescent="0.25">
      <c r="A1412" s="2">
        <v>1411</v>
      </c>
      <c r="B1412" s="7" t="s">
        <v>693</v>
      </c>
      <c r="C1412" s="7" t="s">
        <v>784</v>
      </c>
      <c r="D1412" s="7" t="s">
        <v>1184</v>
      </c>
      <c r="E1412" s="7">
        <v>37</v>
      </c>
      <c r="F1412" s="8">
        <v>1</v>
      </c>
      <c r="G1412" s="8">
        <v>4</v>
      </c>
      <c r="H1412" s="7">
        <v>4</v>
      </c>
      <c r="I1412" s="7">
        <v>4</v>
      </c>
      <c r="J1412" s="9" t="s">
        <v>35</v>
      </c>
      <c r="K1412" s="7">
        <v>2</v>
      </c>
      <c r="L1412" s="7" t="s">
        <v>52</v>
      </c>
      <c r="M1412" s="7">
        <f t="shared" si="111"/>
        <v>1</v>
      </c>
      <c r="N1412" s="9" t="s">
        <v>34</v>
      </c>
      <c r="O1412" s="7">
        <v>1</v>
      </c>
      <c r="P1412" s="9" t="s">
        <v>63</v>
      </c>
      <c r="Q1412" s="7" t="s">
        <v>38</v>
      </c>
      <c r="R1412" s="7" t="s">
        <v>38</v>
      </c>
      <c r="S1412" s="10" t="s">
        <v>2193</v>
      </c>
      <c r="T1412" s="7"/>
      <c r="U1412" s="7"/>
      <c r="V1412" s="7"/>
      <c r="W1412" s="7"/>
      <c r="X1412" s="7">
        <v>10</v>
      </c>
      <c r="Y1412" s="7"/>
      <c r="Z1412" s="7"/>
      <c r="AA1412" s="7"/>
      <c r="AB1412" s="7">
        <f t="shared" si="113"/>
        <v>3.3333333333333335</v>
      </c>
      <c r="AC1412" s="7">
        <f t="shared" si="112"/>
        <v>3.3333333333333335</v>
      </c>
      <c r="AD1412" s="7">
        <v>1</v>
      </c>
      <c r="AE1412" s="7"/>
      <c r="AF1412" s="7" t="s">
        <v>40</v>
      </c>
      <c r="AG1412" s="7" t="s">
        <v>1185</v>
      </c>
      <c r="AH1412" s="7"/>
      <c r="AI1412" s="7"/>
      <c r="AJ1412" s="7"/>
      <c r="AK1412" s="7"/>
      <c r="AL1412" s="9"/>
      <c r="AM1412" s="7" t="s">
        <v>42</v>
      </c>
      <c r="AN1412" s="7" t="s">
        <v>42</v>
      </c>
      <c r="AO1412" s="12"/>
    </row>
    <row r="1413" spans="1:41" s="11" customFormat="1" x14ac:dyDescent="0.25">
      <c r="A1413" s="2">
        <v>1412</v>
      </c>
      <c r="B1413" s="7" t="s">
        <v>693</v>
      </c>
      <c r="C1413" s="7" t="s">
        <v>104</v>
      </c>
      <c r="D1413" s="7">
        <v>7</v>
      </c>
      <c r="E1413" s="7">
        <v>7</v>
      </c>
      <c r="F1413" s="8">
        <v>1</v>
      </c>
      <c r="G1413" s="8">
        <v>1</v>
      </c>
      <c r="H1413" s="7">
        <v>1</v>
      </c>
      <c r="I1413" s="7">
        <v>1</v>
      </c>
      <c r="J1413" s="9" t="s">
        <v>35</v>
      </c>
      <c r="K1413" s="7">
        <v>2</v>
      </c>
      <c r="L1413" s="7" t="s">
        <v>52</v>
      </c>
      <c r="M1413" s="7">
        <f t="shared" si="111"/>
        <v>1</v>
      </c>
      <c r="N1413" s="9" t="s">
        <v>34</v>
      </c>
      <c r="O1413" s="7">
        <v>0</v>
      </c>
      <c r="P1413" s="9" t="s">
        <v>63</v>
      </c>
      <c r="Q1413" s="7" t="s">
        <v>38</v>
      </c>
      <c r="R1413" s="7" t="s">
        <v>38</v>
      </c>
      <c r="S1413" s="10" t="s">
        <v>2194</v>
      </c>
      <c r="T1413" s="7"/>
      <c r="U1413" s="7"/>
      <c r="V1413" s="7"/>
      <c r="W1413" s="7"/>
      <c r="X1413" s="7">
        <v>3</v>
      </c>
      <c r="Y1413" s="7"/>
      <c r="Z1413" s="7"/>
      <c r="AA1413" s="7"/>
      <c r="AB1413" s="7">
        <f t="shared" si="113"/>
        <v>1</v>
      </c>
      <c r="AC1413" s="7">
        <f t="shared" si="112"/>
        <v>1</v>
      </c>
      <c r="AD1413" s="7"/>
      <c r="AE1413" s="7">
        <v>1</v>
      </c>
      <c r="AF1413" s="7"/>
      <c r="AG1413" s="7" t="s">
        <v>1186</v>
      </c>
      <c r="AH1413" s="7"/>
      <c r="AI1413" s="7"/>
      <c r="AJ1413" s="7"/>
      <c r="AK1413" s="7"/>
      <c r="AL1413" s="9"/>
      <c r="AM1413" s="7" t="s">
        <v>42</v>
      </c>
      <c r="AN1413" s="7" t="s">
        <v>42</v>
      </c>
      <c r="AO1413" s="15" t="s">
        <v>2712</v>
      </c>
    </row>
    <row r="1414" spans="1:41" s="11" customFormat="1" ht="24" x14ac:dyDescent="0.25">
      <c r="A1414" s="2">
        <v>1413</v>
      </c>
      <c r="B1414" s="7" t="s">
        <v>693</v>
      </c>
      <c r="C1414" s="7" t="s">
        <v>78</v>
      </c>
      <c r="D1414" s="7" t="s">
        <v>126</v>
      </c>
      <c r="E1414" s="7">
        <v>13</v>
      </c>
      <c r="F1414" s="8">
        <v>1</v>
      </c>
      <c r="G1414" s="8">
        <v>2</v>
      </c>
      <c r="H1414" s="7">
        <v>2</v>
      </c>
      <c r="I1414" s="7">
        <v>2</v>
      </c>
      <c r="J1414" s="9" t="s">
        <v>35</v>
      </c>
      <c r="K1414" s="7">
        <v>2</v>
      </c>
      <c r="L1414" s="7" t="s">
        <v>52</v>
      </c>
      <c r="M1414" s="7">
        <f t="shared" si="111"/>
        <v>1</v>
      </c>
      <c r="N1414" s="9" t="s">
        <v>34</v>
      </c>
      <c r="O1414" s="7">
        <v>1</v>
      </c>
      <c r="P1414" s="9" t="s">
        <v>33</v>
      </c>
      <c r="Q1414" s="7" t="s">
        <v>38</v>
      </c>
      <c r="R1414" s="7" t="s">
        <v>38</v>
      </c>
      <c r="S1414" s="10" t="s">
        <v>1718</v>
      </c>
      <c r="T1414" s="7">
        <v>17</v>
      </c>
      <c r="U1414" s="7">
        <v>17</v>
      </c>
      <c r="V1414" s="7">
        <v>100</v>
      </c>
      <c r="W1414" s="7" t="s">
        <v>83</v>
      </c>
      <c r="X1414" s="7"/>
      <c r="Y1414" s="7"/>
      <c r="Z1414" s="7"/>
      <c r="AA1414" s="7"/>
      <c r="AB1414" s="7">
        <f t="shared" si="113"/>
        <v>5.666666666666667</v>
      </c>
      <c r="AC1414" s="7">
        <f t="shared" si="112"/>
        <v>5.666666666666667</v>
      </c>
      <c r="AD1414" s="7"/>
      <c r="AE1414" s="7"/>
      <c r="AF1414" s="7"/>
      <c r="AG1414" s="7"/>
      <c r="AH1414" s="7"/>
      <c r="AI1414" s="7"/>
      <c r="AJ1414" s="7"/>
      <c r="AK1414" s="10" t="s">
        <v>252</v>
      </c>
      <c r="AL1414" s="9"/>
      <c r="AM1414" s="7" t="s">
        <v>42</v>
      </c>
      <c r="AN1414" s="7" t="s">
        <v>42</v>
      </c>
      <c r="AO1414" s="15" t="s">
        <v>2713</v>
      </c>
    </row>
    <row r="1415" spans="1:41" s="11" customFormat="1" x14ac:dyDescent="0.25">
      <c r="A1415" s="2">
        <v>1414</v>
      </c>
      <c r="B1415" s="7" t="s">
        <v>693</v>
      </c>
      <c r="C1415" s="7" t="s">
        <v>78</v>
      </c>
      <c r="D1415" s="7" t="s">
        <v>302</v>
      </c>
      <c r="E1415" s="7">
        <v>16</v>
      </c>
      <c r="F1415" s="8">
        <v>1</v>
      </c>
      <c r="G1415" s="8">
        <v>2</v>
      </c>
      <c r="H1415" s="7">
        <v>2</v>
      </c>
      <c r="I1415" s="7">
        <v>2</v>
      </c>
      <c r="J1415" s="9" t="s">
        <v>35</v>
      </c>
      <c r="K1415" s="7">
        <v>2</v>
      </c>
      <c r="L1415" s="7" t="s">
        <v>52</v>
      </c>
      <c r="M1415" s="7">
        <f t="shared" si="111"/>
        <v>1</v>
      </c>
      <c r="N1415" s="9" t="s">
        <v>34</v>
      </c>
      <c r="O1415" s="7">
        <v>0</v>
      </c>
      <c r="P1415" s="9" t="s">
        <v>63</v>
      </c>
      <c r="Q1415" s="7" t="s">
        <v>38</v>
      </c>
      <c r="R1415" s="7" t="s">
        <v>38</v>
      </c>
      <c r="S1415" s="10" t="s">
        <v>2195</v>
      </c>
      <c r="T1415" s="7">
        <v>25</v>
      </c>
      <c r="U1415" s="7">
        <v>25</v>
      </c>
      <c r="V1415" s="7">
        <v>60</v>
      </c>
      <c r="W1415" s="7" t="s">
        <v>88</v>
      </c>
      <c r="X1415" s="7"/>
      <c r="Y1415" s="7"/>
      <c r="Z1415" s="7"/>
      <c r="AA1415" s="7"/>
      <c r="AB1415" s="7">
        <f t="shared" si="113"/>
        <v>8.3333333333333339</v>
      </c>
      <c r="AC1415" s="7">
        <f t="shared" si="112"/>
        <v>8.3333333333333339</v>
      </c>
      <c r="AD1415" s="7"/>
      <c r="AE1415" s="7"/>
      <c r="AF1415" s="7"/>
      <c r="AG1415" s="7"/>
      <c r="AH1415" s="7"/>
      <c r="AI1415" s="7"/>
      <c r="AJ1415" s="7"/>
      <c r="AK1415" s="10" t="s">
        <v>2490</v>
      </c>
      <c r="AL1415" s="9"/>
      <c r="AM1415" s="7" t="s">
        <v>85</v>
      </c>
      <c r="AN1415" s="7" t="s">
        <v>2848</v>
      </c>
      <c r="AO1415" s="15" t="s">
        <v>2713</v>
      </c>
    </row>
    <row r="1416" spans="1:41" s="11" customFormat="1" x14ac:dyDescent="0.25">
      <c r="A1416" s="2">
        <v>1415</v>
      </c>
      <c r="B1416" s="7" t="s">
        <v>693</v>
      </c>
      <c r="C1416" s="7" t="s">
        <v>78</v>
      </c>
      <c r="D1416" s="7">
        <v>1</v>
      </c>
      <c r="E1416" s="7">
        <v>1</v>
      </c>
      <c r="F1416" s="8">
        <v>1</v>
      </c>
      <c r="G1416" s="8">
        <v>2</v>
      </c>
      <c r="H1416" s="7">
        <v>2</v>
      </c>
      <c r="I1416" s="7">
        <v>2</v>
      </c>
      <c r="J1416" s="9" t="s">
        <v>35</v>
      </c>
      <c r="K1416" s="7">
        <v>2</v>
      </c>
      <c r="L1416" s="7" t="s">
        <v>52</v>
      </c>
      <c r="M1416" s="7">
        <f t="shared" si="111"/>
        <v>1</v>
      </c>
      <c r="N1416" s="9" t="s">
        <v>34</v>
      </c>
      <c r="O1416" s="7">
        <v>0</v>
      </c>
      <c r="P1416" s="9" t="s">
        <v>63</v>
      </c>
      <c r="Q1416" s="7" t="s">
        <v>38</v>
      </c>
      <c r="R1416" s="7" t="s">
        <v>38</v>
      </c>
      <c r="S1416" s="7"/>
      <c r="T1416" s="7" t="s">
        <v>92</v>
      </c>
      <c r="U1416" s="7">
        <v>3</v>
      </c>
      <c r="V1416" s="7" t="s">
        <v>199</v>
      </c>
      <c r="W1416" s="7" t="s">
        <v>254</v>
      </c>
      <c r="X1416" s="7"/>
      <c r="Y1416" s="7"/>
      <c r="Z1416" s="7"/>
      <c r="AA1416" s="7"/>
      <c r="AB1416" s="7">
        <f t="shared" si="113"/>
        <v>1</v>
      </c>
      <c r="AC1416" s="7">
        <f t="shared" si="112"/>
        <v>1</v>
      </c>
      <c r="AD1416" s="7"/>
      <c r="AE1416" s="7"/>
      <c r="AF1416" s="7"/>
      <c r="AG1416" s="7"/>
      <c r="AH1416" s="7"/>
      <c r="AI1416" s="7"/>
      <c r="AJ1416" s="7"/>
      <c r="AK1416" s="7"/>
      <c r="AL1416" s="9"/>
      <c r="AM1416" s="7" t="s">
        <v>71</v>
      </c>
      <c r="AN1416" s="7" t="s">
        <v>71</v>
      </c>
      <c r="AO1416" s="15" t="s">
        <v>2714</v>
      </c>
    </row>
    <row r="1417" spans="1:41" s="11" customFormat="1" x14ac:dyDescent="0.25">
      <c r="A1417" s="2">
        <v>1416</v>
      </c>
      <c r="B1417" s="7" t="s">
        <v>693</v>
      </c>
      <c r="C1417" s="7" t="s">
        <v>119</v>
      </c>
      <c r="D1417" s="7">
        <v>2</v>
      </c>
      <c r="E1417" s="7">
        <v>2</v>
      </c>
      <c r="F1417" s="8">
        <v>1</v>
      </c>
      <c r="G1417" s="8">
        <v>1</v>
      </c>
      <c r="H1417" s="7">
        <v>1</v>
      </c>
      <c r="I1417" s="7">
        <v>1</v>
      </c>
      <c r="J1417" s="9" t="s">
        <v>35</v>
      </c>
      <c r="K1417" s="7">
        <v>2</v>
      </c>
      <c r="L1417" s="7" t="s">
        <v>52</v>
      </c>
      <c r="M1417" s="7">
        <f t="shared" si="111"/>
        <v>1</v>
      </c>
      <c r="N1417" s="9" t="s">
        <v>34</v>
      </c>
      <c r="O1417" s="7">
        <v>0</v>
      </c>
      <c r="P1417" s="9" t="s">
        <v>63</v>
      </c>
      <c r="Q1417" s="7"/>
      <c r="R1417" s="7" t="s">
        <v>38</v>
      </c>
      <c r="S1417" s="10" t="s">
        <v>2185</v>
      </c>
      <c r="T1417" s="7"/>
      <c r="U1417" s="7"/>
      <c r="V1417" s="7"/>
      <c r="W1417" s="7"/>
      <c r="X1417" s="7"/>
      <c r="Y1417" s="7"/>
      <c r="Z1417" s="7"/>
      <c r="AA1417" s="7"/>
      <c r="AB1417" s="7">
        <v>0.33333333333333298</v>
      </c>
      <c r="AC1417" s="7">
        <f t="shared" si="112"/>
        <v>0.33333333333333298</v>
      </c>
      <c r="AD1417" s="7"/>
      <c r="AE1417" s="7"/>
      <c r="AF1417" s="7" t="s">
        <v>40</v>
      </c>
      <c r="AG1417" s="7"/>
      <c r="AH1417" s="7"/>
      <c r="AI1417" s="7"/>
      <c r="AJ1417" s="7"/>
      <c r="AK1417" s="7"/>
      <c r="AL1417" s="9"/>
      <c r="AM1417" s="7" t="s">
        <v>71</v>
      </c>
      <c r="AN1417" s="7" t="s">
        <v>71</v>
      </c>
      <c r="AO1417" s="15" t="s">
        <v>2715</v>
      </c>
    </row>
    <row r="1418" spans="1:41" s="11" customFormat="1" x14ac:dyDescent="0.25">
      <c r="A1418" s="2">
        <v>1417</v>
      </c>
      <c r="B1418" s="7" t="s">
        <v>693</v>
      </c>
      <c r="C1418" s="7" t="s">
        <v>119</v>
      </c>
      <c r="D1418" s="7">
        <v>2</v>
      </c>
      <c r="E1418" s="7">
        <v>2</v>
      </c>
      <c r="F1418" s="8">
        <v>1</v>
      </c>
      <c r="G1418" s="8">
        <v>1</v>
      </c>
      <c r="H1418" s="7">
        <v>1</v>
      </c>
      <c r="I1418" s="7">
        <v>1</v>
      </c>
      <c r="J1418" s="9" t="s">
        <v>70</v>
      </c>
      <c r="K1418" s="7">
        <v>1</v>
      </c>
      <c r="L1418" s="7" t="s">
        <v>52</v>
      </c>
      <c r="M1418" s="7">
        <f t="shared" si="111"/>
        <v>1</v>
      </c>
      <c r="N1418" s="9" t="s">
        <v>36</v>
      </c>
      <c r="O1418" s="7">
        <v>2</v>
      </c>
      <c r="P1418" s="9" t="s">
        <v>63</v>
      </c>
      <c r="Q1418" s="7"/>
      <c r="R1418" s="7" t="s">
        <v>38</v>
      </c>
      <c r="S1418" s="10" t="s">
        <v>1812</v>
      </c>
      <c r="T1418" s="7"/>
      <c r="U1418" s="7"/>
      <c r="V1418" s="7"/>
      <c r="W1418" s="7"/>
      <c r="X1418" s="7"/>
      <c r="Y1418" s="7"/>
      <c r="Z1418" s="7"/>
      <c r="AA1418" s="7"/>
      <c r="AB1418" s="7">
        <v>0.33333333333333298</v>
      </c>
      <c r="AC1418" s="7">
        <f t="shared" si="112"/>
        <v>0.33333333333333298</v>
      </c>
      <c r="AD1418" s="7"/>
      <c r="AE1418" s="7"/>
      <c r="AF1418" s="7" t="s">
        <v>40</v>
      </c>
      <c r="AG1418" s="7"/>
      <c r="AH1418" s="7"/>
      <c r="AI1418" s="7"/>
      <c r="AJ1418" s="7"/>
      <c r="AK1418" s="7"/>
      <c r="AL1418" s="9"/>
      <c r="AM1418" s="7" t="s">
        <v>71</v>
      </c>
      <c r="AN1418" s="7" t="s">
        <v>71</v>
      </c>
      <c r="AO1418" s="15" t="s">
        <v>2716</v>
      </c>
    </row>
    <row r="1419" spans="1:41" s="11" customFormat="1" x14ac:dyDescent="0.25">
      <c r="A1419" s="2">
        <v>1418</v>
      </c>
      <c r="B1419" s="7" t="s">
        <v>693</v>
      </c>
      <c r="C1419" s="7" t="s">
        <v>100</v>
      </c>
      <c r="D1419" s="7">
        <v>8</v>
      </c>
      <c r="E1419" s="7">
        <v>8</v>
      </c>
      <c r="F1419" s="8">
        <v>1</v>
      </c>
      <c r="G1419" s="8">
        <v>1</v>
      </c>
      <c r="H1419" s="7">
        <v>1</v>
      </c>
      <c r="I1419" s="7">
        <v>1</v>
      </c>
      <c r="J1419" s="9" t="s">
        <v>70</v>
      </c>
      <c r="K1419" s="7">
        <v>1</v>
      </c>
      <c r="L1419" s="7" t="s">
        <v>52</v>
      </c>
      <c r="M1419" s="7">
        <f t="shared" si="111"/>
        <v>1</v>
      </c>
      <c r="N1419" s="9"/>
      <c r="O1419" s="7"/>
      <c r="P1419" s="9"/>
      <c r="Q1419" s="7" t="s">
        <v>52</v>
      </c>
      <c r="R1419" s="7" t="s">
        <v>38</v>
      </c>
      <c r="S1419" s="7"/>
      <c r="T1419" s="7"/>
      <c r="U1419" s="7"/>
      <c r="V1419" s="7"/>
      <c r="W1419" s="7"/>
      <c r="X1419" s="7">
        <v>3</v>
      </c>
      <c r="Y1419" s="7"/>
      <c r="Z1419" s="7"/>
      <c r="AA1419" s="7"/>
      <c r="AB1419" s="7">
        <f>(U1419+X1419+Z1419)/3</f>
        <v>1</v>
      </c>
      <c r="AC1419" s="7">
        <f t="shared" si="112"/>
        <v>1</v>
      </c>
      <c r="AD1419" s="7"/>
      <c r="AE1419" s="7"/>
      <c r="AF1419" s="7"/>
      <c r="AG1419" s="7"/>
      <c r="AH1419" s="7"/>
      <c r="AI1419" s="7"/>
      <c r="AJ1419" s="10" t="s">
        <v>2409</v>
      </c>
      <c r="AK1419" s="7"/>
      <c r="AL1419" s="9"/>
      <c r="AM1419" s="7" t="s">
        <v>71</v>
      </c>
      <c r="AN1419" s="7" t="s">
        <v>71</v>
      </c>
      <c r="AO1419" s="15" t="s">
        <v>2713</v>
      </c>
    </row>
    <row r="1420" spans="1:41" s="11" customFormat="1" x14ac:dyDescent="0.25">
      <c r="A1420" s="2">
        <v>1419</v>
      </c>
      <c r="B1420" s="7" t="s">
        <v>693</v>
      </c>
      <c r="C1420" s="7" t="s">
        <v>89</v>
      </c>
      <c r="D1420" s="7" t="s">
        <v>1187</v>
      </c>
      <c r="E1420" s="7">
        <v>14</v>
      </c>
      <c r="F1420" s="8">
        <v>4</v>
      </c>
      <c r="G1420" s="8">
        <v>6</v>
      </c>
      <c r="H1420" s="7" t="s">
        <v>1188</v>
      </c>
      <c r="I1420" s="7">
        <v>6</v>
      </c>
      <c r="J1420" s="9" t="s">
        <v>35</v>
      </c>
      <c r="K1420" s="7">
        <v>2</v>
      </c>
      <c r="L1420" s="7" t="s">
        <v>52</v>
      </c>
      <c r="M1420" s="7">
        <f t="shared" si="111"/>
        <v>4</v>
      </c>
      <c r="N1420" s="9"/>
      <c r="O1420" s="7"/>
      <c r="P1420" s="9"/>
      <c r="Q1420" s="7"/>
      <c r="R1420" s="7"/>
      <c r="S1420" s="7"/>
      <c r="T1420" s="7"/>
      <c r="U1420" s="7"/>
      <c r="V1420" s="7"/>
      <c r="W1420" s="7"/>
      <c r="X1420" s="7">
        <v>3</v>
      </c>
      <c r="Y1420" s="7"/>
      <c r="Z1420" s="7"/>
      <c r="AA1420" s="7"/>
      <c r="AB1420" s="7">
        <f>(U1420+X1420+Z1420)/3</f>
        <v>1</v>
      </c>
      <c r="AC1420" s="7">
        <f t="shared" si="112"/>
        <v>1</v>
      </c>
      <c r="AD1420" s="7"/>
      <c r="AE1420" s="7"/>
      <c r="AF1420" s="7"/>
      <c r="AG1420" s="7"/>
      <c r="AH1420" s="7"/>
      <c r="AI1420" s="7"/>
      <c r="AJ1420" s="7"/>
      <c r="AK1420" s="7"/>
      <c r="AL1420" s="9"/>
      <c r="AM1420" s="7" t="s">
        <v>71</v>
      </c>
      <c r="AN1420" s="7" t="s">
        <v>71</v>
      </c>
      <c r="AO1420" s="15" t="s">
        <v>2714</v>
      </c>
    </row>
    <row r="1421" spans="1:41" s="11" customFormat="1" x14ac:dyDescent="0.25">
      <c r="A1421" s="2">
        <v>1420</v>
      </c>
      <c r="B1421" s="7" t="s">
        <v>693</v>
      </c>
      <c r="C1421" s="7" t="s">
        <v>100</v>
      </c>
      <c r="D1421" s="16">
        <v>1</v>
      </c>
      <c r="E1421" s="16">
        <v>1</v>
      </c>
      <c r="F1421" s="8">
        <v>1</v>
      </c>
      <c r="G1421" s="8">
        <v>1</v>
      </c>
      <c r="H1421" s="7">
        <v>1</v>
      </c>
      <c r="I1421" s="7">
        <v>1</v>
      </c>
      <c r="J1421" s="9" t="s">
        <v>176</v>
      </c>
      <c r="K1421" s="7">
        <v>10</v>
      </c>
      <c r="L1421" s="7" t="s">
        <v>52</v>
      </c>
      <c r="M1421" s="7">
        <f t="shared" si="111"/>
        <v>1</v>
      </c>
      <c r="N1421" s="9"/>
      <c r="O1421" s="7"/>
      <c r="P1421" s="9"/>
      <c r="Q1421" s="7"/>
      <c r="R1421" s="7"/>
      <c r="S1421" s="7"/>
      <c r="T1421" s="7"/>
      <c r="U1421" s="7"/>
      <c r="V1421" s="7"/>
      <c r="W1421" s="7"/>
      <c r="X1421" s="7">
        <v>3</v>
      </c>
      <c r="Y1421" s="7"/>
      <c r="Z1421" s="7"/>
      <c r="AA1421" s="7"/>
      <c r="AB1421" s="7">
        <f>(U1421+X1421+Z1421)/3</f>
        <v>1</v>
      </c>
      <c r="AC1421" s="7">
        <f t="shared" si="112"/>
        <v>1</v>
      </c>
      <c r="AD1421" s="7"/>
      <c r="AE1421" s="7"/>
      <c r="AF1421" s="7"/>
      <c r="AG1421" s="7"/>
      <c r="AH1421" s="7"/>
      <c r="AI1421" s="7"/>
      <c r="AJ1421" s="7"/>
      <c r="AK1421" s="7"/>
      <c r="AL1421" s="9"/>
      <c r="AM1421" s="7" t="s">
        <v>71</v>
      </c>
      <c r="AN1421" s="7" t="s">
        <v>71</v>
      </c>
      <c r="AO1421" s="15" t="s">
        <v>2713</v>
      </c>
    </row>
    <row r="1422" spans="1:41" s="11" customFormat="1" x14ac:dyDescent="0.25">
      <c r="A1422" s="2">
        <v>1421</v>
      </c>
      <c r="B1422" s="7" t="s">
        <v>693</v>
      </c>
      <c r="C1422" s="7" t="s">
        <v>119</v>
      </c>
      <c r="D1422" s="7">
        <v>19</v>
      </c>
      <c r="E1422" s="7">
        <v>19</v>
      </c>
      <c r="F1422" s="8">
        <v>1</v>
      </c>
      <c r="G1422" s="8">
        <v>1</v>
      </c>
      <c r="H1422" s="7">
        <v>1</v>
      </c>
      <c r="I1422" s="7">
        <v>1</v>
      </c>
      <c r="J1422" s="9" t="s">
        <v>639</v>
      </c>
      <c r="K1422" s="7"/>
      <c r="L1422" s="7" t="s">
        <v>38</v>
      </c>
      <c r="M1422" s="7">
        <f t="shared" si="111"/>
        <v>0</v>
      </c>
      <c r="N1422" s="9"/>
      <c r="O1422" s="7"/>
      <c r="P1422" s="9"/>
      <c r="Q1422" s="7"/>
      <c r="R1422" s="7"/>
      <c r="S1422" s="7"/>
      <c r="T1422" s="7"/>
      <c r="U1422" s="7"/>
      <c r="V1422" s="7"/>
      <c r="W1422" s="7"/>
      <c r="X1422" s="7"/>
      <c r="Y1422" s="7"/>
      <c r="Z1422" s="7"/>
      <c r="AA1422" s="7"/>
      <c r="AB1422" s="7">
        <v>0.33333333333333298</v>
      </c>
      <c r="AC1422" s="7">
        <f t="shared" si="112"/>
        <v>0</v>
      </c>
      <c r="AD1422" s="7"/>
      <c r="AE1422" s="7"/>
      <c r="AF1422" s="7"/>
      <c r="AG1422" s="7"/>
      <c r="AH1422" s="7"/>
      <c r="AI1422" s="7"/>
      <c r="AJ1422" s="7"/>
      <c r="AK1422" s="7"/>
      <c r="AL1422" s="9"/>
      <c r="AM1422" s="7"/>
      <c r="AN1422" s="7"/>
      <c r="AO1422" s="15" t="s">
        <v>2717</v>
      </c>
    </row>
    <row r="1423" spans="1:41" s="11" customFormat="1" x14ac:dyDescent="0.25">
      <c r="A1423" s="2">
        <v>1422</v>
      </c>
      <c r="B1423" s="7" t="s">
        <v>693</v>
      </c>
      <c r="C1423" s="7" t="s">
        <v>89</v>
      </c>
      <c r="D1423" s="7" t="s">
        <v>86</v>
      </c>
      <c r="E1423" s="7">
        <v>4</v>
      </c>
      <c r="F1423" s="8">
        <v>2</v>
      </c>
      <c r="G1423" s="8">
        <v>2</v>
      </c>
      <c r="H1423" s="7" t="s">
        <v>87</v>
      </c>
      <c r="I1423" s="7">
        <v>2</v>
      </c>
      <c r="J1423" s="9" t="s">
        <v>35</v>
      </c>
      <c r="K1423" s="7">
        <v>2</v>
      </c>
      <c r="L1423" s="7" t="s">
        <v>52</v>
      </c>
      <c r="M1423" s="7">
        <f t="shared" si="111"/>
        <v>2</v>
      </c>
      <c r="N1423" s="9"/>
      <c r="O1423" s="7"/>
      <c r="P1423" s="9"/>
      <c r="Q1423" s="7"/>
      <c r="R1423" s="7"/>
      <c r="S1423" s="7"/>
      <c r="T1423" s="7"/>
      <c r="U1423" s="7"/>
      <c r="V1423" s="7"/>
      <c r="W1423" s="7"/>
      <c r="X1423" s="7">
        <v>3</v>
      </c>
      <c r="Y1423" s="7"/>
      <c r="Z1423" s="7"/>
      <c r="AA1423" s="7"/>
      <c r="AB1423" s="7">
        <f>(U1423+X1423+Z1423)/3</f>
        <v>1</v>
      </c>
      <c r="AC1423" s="7">
        <f t="shared" si="112"/>
        <v>1</v>
      </c>
      <c r="AD1423" s="7"/>
      <c r="AE1423" s="7"/>
      <c r="AF1423" s="7"/>
      <c r="AG1423" s="7"/>
      <c r="AH1423" s="7"/>
      <c r="AI1423" s="7"/>
      <c r="AJ1423" s="7"/>
      <c r="AK1423" s="7"/>
      <c r="AL1423" s="9"/>
      <c r="AM1423" s="7" t="s">
        <v>71</v>
      </c>
      <c r="AN1423" s="7" t="s">
        <v>71</v>
      </c>
      <c r="AO1423" s="15" t="s">
        <v>2718</v>
      </c>
    </row>
    <row r="1424" spans="1:41" s="11" customFormat="1" x14ac:dyDescent="0.25">
      <c r="A1424" s="2">
        <v>1423</v>
      </c>
      <c r="B1424" s="7" t="s">
        <v>693</v>
      </c>
      <c r="C1424" s="7" t="s">
        <v>119</v>
      </c>
      <c r="D1424" s="7">
        <v>5</v>
      </c>
      <c r="E1424" s="7">
        <v>5</v>
      </c>
      <c r="F1424" s="8">
        <v>1</v>
      </c>
      <c r="G1424" s="8">
        <v>1</v>
      </c>
      <c r="H1424" s="7">
        <v>1</v>
      </c>
      <c r="I1424" s="7">
        <v>1</v>
      </c>
      <c r="J1424" s="9" t="s">
        <v>35</v>
      </c>
      <c r="K1424" s="7">
        <v>2</v>
      </c>
      <c r="L1424" s="7" t="s">
        <v>52</v>
      </c>
      <c r="M1424" s="7">
        <f t="shared" si="111"/>
        <v>1</v>
      </c>
      <c r="N1424" s="9" t="s">
        <v>34</v>
      </c>
      <c r="O1424" s="7">
        <v>0</v>
      </c>
      <c r="P1424" s="9" t="s">
        <v>63</v>
      </c>
      <c r="Q1424" s="7"/>
      <c r="R1424" s="7" t="s">
        <v>38</v>
      </c>
      <c r="S1424" s="10" t="s">
        <v>2196</v>
      </c>
      <c r="T1424" s="7"/>
      <c r="U1424" s="7"/>
      <c r="V1424" s="7"/>
      <c r="W1424" s="7"/>
      <c r="X1424" s="7"/>
      <c r="Y1424" s="7"/>
      <c r="Z1424" s="7"/>
      <c r="AA1424" s="7"/>
      <c r="AB1424" s="7">
        <v>0.33333333333333298</v>
      </c>
      <c r="AC1424" s="7">
        <f t="shared" si="112"/>
        <v>0.33333333333333298</v>
      </c>
      <c r="AD1424" s="7">
        <v>1</v>
      </c>
      <c r="AE1424" s="7"/>
      <c r="AF1424" s="7" t="s">
        <v>40</v>
      </c>
      <c r="AG1424" s="7" t="s">
        <v>1189</v>
      </c>
      <c r="AH1424" s="7"/>
      <c r="AI1424" s="7"/>
      <c r="AJ1424" s="7"/>
      <c r="AK1424" s="7"/>
      <c r="AL1424" s="9"/>
      <c r="AM1424" s="7" t="s">
        <v>71</v>
      </c>
      <c r="AN1424" s="7" t="s">
        <v>71</v>
      </c>
      <c r="AO1424" s="15" t="s">
        <v>2719</v>
      </c>
    </row>
    <row r="1425" spans="1:41" s="11" customFormat="1" x14ac:dyDescent="0.25">
      <c r="A1425" s="2">
        <v>1424</v>
      </c>
      <c r="B1425" s="7" t="s">
        <v>693</v>
      </c>
      <c r="C1425" s="7" t="s">
        <v>50</v>
      </c>
      <c r="D1425" s="7">
        <v>21</v>
      </c>
      <c r="E1425" s="7">
        <v>21</v>
      </c>
      <c r="F1425" s="8">
        <v>1</v>
      </c>
      <c r="G1425" s="8">
        <v>1</v>
      </c>
      <c r="H1425" s="7">
        <v>1</v>
      </c>
      <c r="I1425" s="7">
        <v>1</v>
      </c>
      <c r="J1425" s="9" t="s">
        <v>219</v>
      </c>
      <c r="K1425" s="7">
        <v>1</v>
      </c>
      <c r="L1425" s="7" t="s">
        <v>52</v>
      </c>
      <c r="M1425" s="7">
        <f t="shared" si="111"/>
        <v>1</v>
      </c>
      <c r="N1425" s="9" t="s">
        <v>34</v>
      </c>
      <c r="O1425" s="7">
        <v>0</v>
      </c>
      <c r="P1425" s="9" t="s">
        <v>36</v>
      </c>
      <c r="Q1425" s="7" t="s">
        <v>38</v>
      </c>
      <c r="R1425" s="7"/>
      <c r="S1425" s="10" t="s">
        <v>2197</v>
      </c>
      <c r="T1425" s="7"/>
      <c r="U1425" s="7"/>
      <c r="V1425" s="7"/>
      <c r="W1425" s="7"/>
      <c r="X1425" s="7"/>
      <c r="Y1425" s="7">
        <v>6</v>
      </c>
      <c r="Z1425" s="7">
        <v>6</v>
      </c>
      <c r="AA1425" s="7">
        <v>180</v>
      </c>
      <c r="AB1425" s="7">
        <f>(U1425+X1425+Z1425)/3</f>
        <v>2</v>
      </c>
      <c r="AC1425" s="7">
        <f t="shared" si="112"/>
        <v>2</v>
      </c>
      <c r="AD1425" s="7"/>
      <c r="AE1425" s="7"/>
      <c r="AF1425" s="7"/>
      <c r="AG1425" s="7"/>
      <c r="AH1425" s="7"/>
      <c r="AI1425" s="7"/>
      <c r="AJ1425" s="7"/>
      <c r="AK1425" s="7"/>
      <c r="AL1425" s="9"/>
      <c r="AM1425" s="7" t="s">
        <v>71</v>
      </c>
      <c r="AN1425" s="7" t="s">
        <v>71</v>
      </c>
      <c r="AO1425" s="15" t="s">
        <v>2720</v>
      </c>
    </row>
    <row r="1426" spans="1:41" s="11" customFormat="1" x14ac:dyDescent="0.25">
      <c r="A1426" s="2">
        <v>1425</v>
      </c>
      <c r="B1426" s="7" t="s">
        <v>693</v>
      </c>
      <c r="C1426" s="7" t="s">
        <v>577</v>
      </c>
      <c r="D1426" s="7">
        <v>38</v>
      </c>
      <c r="E1426" s="7">
        <v>38</v>
      </c>
      <c r="F1426" s="8">
        <v>1</v>
      </c>
      <c r="G1426" s="8">
        <v>2</v>
      </c>
      <c r="H1426" s="7" t="s">
        <v>87</v>
      </c>
      <c r="I1426" s="7">
        <v>2</v>
      </c>
      <c r="J1426" s="9" t="s">
        <v>578</v>
      </c>
      <c r="K1426" s="7"/>
      <c r="L1426" s="7" t="s">
        <v>38</v>
      </c>
      <c r="M1426" s="7">
        <f t="shared" si="111"/>
        <v>0</v>
      </c>
      <c r="N1426" s="9"/>
      <c r="O1426" s="7"/>
      <c r="P1426" s="9"/>
      <c r="Q1426" s="7"/>
      <c r="R1426" s="7"/>
      <c r="S1426" s="7"/>
      <c r="T1426" s="7"/>
      <c r="U1426" s="7"/>
      <c r="V1426" s="7"/>
      <c r="W1426" s="7"/>
      <c r="X1426" s="7"/>
      <c r="Y1426" s="7"/>
      <c r="Z1426" s="7"/>
      <c r="AA1426" s="7"/>
      <c r="AB1426" s="7">
        <v>0.33333333333333298</v>
      </c>
      <c r="AC1426" s="7">
        <f t="shared" si="112"/>
        <v>0</v>
      </c>
      <c r="AD1426" s="7"/>
      <c r="AE1426" s="7"/>
      <c r="AF1426" s="7"/>
      <c r="AG1426" s="7"/>
      <c r="AH1426" s="7"/>
      <c r="AI1426" s="7"/>
      <c r="AJ1426" s="7"/>
      <c r="AK1426" s="7"/>
      <c r="AL1426" s="9"/>
      <c r="AM1426" s="7"/>
      <c r="AN1426" s="7"/>
      <c r="AO1426" s="15" t="s">
        <v>2721</v>
      </c>
    </row>
    <row r="1427" spans="1:41" s="11" customFormat="1" ht="96" x14ac:dyDescent="0.25">
      <c r="A1427" s="2">
        <v>1426</v>
      </c>
      <c r="B1427" s="7" t="s">
        <v>1190</v>
      </c>
      <c r="C1427" s="7" t="s">
        <v>421</v>
      </c>
      <c r="D1427" s="7" t="s">
        <v>1191</v>
      </c>
      <c r="E1427" s="7">
        <f>164+101+92+75+70+62+62+61+56+55+52+42+35+26+23+22+19+14+13+10+7</f>
        <v>1061</v>
      </c>
      <c r="F1427" s="8">
        <v>1</v>
      </c>
      <c r="G1427" s="9" t="s">
        <v>1192</v>
      </c>
      <c r="H1427" s="7" t="s">
        <v>1193</v>
      </c>
      <c r="I1427" s="7">
        <f>16+6+4</f>
        <v>26</v>
      </c>
      <c r="J1427" s="9" t="s">
        <v>219</v>
      </c>
      <c r="K1427" s="7">
        <v>1</v>
      </c>
      <c r="L1427" s="7" t="s">
        <v>52</v>
      </c>
      <c r="M1427" s="7">
        <f t="shared" si="111"/>
        <v>1</v>
      </c>
      <c r="N1427" s="9" t="s">
        <v>37</v>
      </c>
      <c r="O1427" s="7">
        <v>0</v>
      </c>
      <c r="P1427" s="9" t="s">
        <v>63</v>
      </c>
      <c r="Q1427" s="7" t="s">
        <v>38</v>
      </c>
      <c r="R1427" s="7" t="s">
        <v>38</v>
      </c>
      <c r="S1427" s="10" t="s">
        <v>2198</v>
      </c>
      <c r="T1427" s="7" t="s">
        <v>1194</v>
      </c>
      <c r="U1427" s="7">
        <v>56</v>
      </c>
      <c r="V1427" s="7" t="s">
        <v>1195</v>
      </c>
      <c r="W1427" s="7" t="s">
        <v>1196</v>
      </c>
      <c r="X1427" s="7">
        <v>20</v>
      </c>
      <c r="Y1427" s="7">
        <v>50</v>
      </c>
      <c r="Z1427" s="7">
        <v>50</v>
      </c>
      <c r="AA1427" s="7" t="s">
        <v>403</v>
      </c>
      <c r="AB1427" s="7">
        <f t="shared" ref="AB1427:AB1465" si="114">(U1427+X1427+Z1427)/3</f>
        <v>42</v>
      </c>
      <c r="AC1427" s="7">
        <f t="shared" si="112"/>
        <v>42</v>
      </c>
      <c r="AD1427" s="7"/>
      <c r="AE1427" s="7"/>
      <c r="AF1427" s="7"/>
      <c r="AG1427" s="7"/>
      <c r="AH1427" s="7"/>
      <c r="AI1427" s="7"/>
      <c r="AJ1427" s="10" t="s">
        <v>2410</v>
      </c>
      <c r="AK1427" s="7"/>
      <c r="AL1427" s="9" t="s">
        <v>38</v>
      </c>
      <c r="AM1427" s="7" t="s">
        <v>215</v>
      </c>
      <c r="AN1427" s="7" t="s">
        <v>2850</v>
      </c>
      <c r="AO1427" s="15" t="s">
        <v>2722</v>
      </c>
    </row>
    <row r="1428" spans="1:41" s="11" customFormat="1" x14ac:dyDescent="0.25">
      <c r="A1428" s="2">
        <v>1427</v>
      </c>
      <c r="B1428" s="7" t="s">
        <v>1197</v>
      </c>
      <c r="C1428" s="7" t="s">
        <v>100</v>
      </c>
      <c r="D1428" s="7">
        <v>5</v>
      </c>
      <c r="E1428" s="7">
        <v>5</v>
      </c>
      <c r="F1428" s="8">
        <v>1</v>
      </c>
      <c r="G1428" s="8">
        <v>1</v>
      </c>
      <c r="H1428" s="7">
        <v>1</v>
      </c>
      <c r="I1428" s="7">
        <v>1</v>
      </c>
      <c r="J1428" s="9" t="s">
        <v>219</v>
      </c>
      <c r="K1428" s="7">
        <v>12</v>
      </c>
      <c r="L1428" s="7" t="s">
        <v>52</v>
      </c>
      <c r="M1428" s="7">
        <f t="shared" si="111"/>
        <v>1</v>
      </c>
      <c r="N1428" s="9"/>
      <c r="O1428" s="7"/>
      <c r="P1428" s="9"/>
      <c r="Q1428" s="7"/>
      <c r="R1428" s="7"/>
      <c r="S1428" s="7"/>
      <c r="T1428" s="7"/>
      <c r="U1428" s="7"/>
      <c r="V1428" s="7"/>
      <c r="W1428" s="7"/>
      <c r="X1428" s="7">
        <v>3</v>
      </c>
      <c r="Y1428" s="7"/>
      <c r="Z1428" s="7"/>
      <c r="AA1428" s="7"/>
      <c r="AB1428" s="7">
        <f t="shared" si="114"/>
        <v>1</v>
      </c>
      <c r="AC1428" s="7">
        <f t="shared" si="112"/>
        <v>1</v>
      </c>
      <c r="AD1428" s="7"/>
      <c r="AE1428" s="7"/>
      <c r="AF1428" s="7"/>
      <c r="AG1428" s="7"/>
      <c r="AH1428" s="7"/>
      <c r="AI1428" s="7"/>
      <c r="AJ1428" s="7"/>
      <c r="AK1428" s="7"/>
      <c r="AL1428" s="9"/>
      <c r="AM1428" s="7" t="s">
        <v>71</v>
      </c>
      <c r="AN1428" s="7" t="s">
        <v>71</v>
      </c>
      <c r="AO1428" s="12"/>
    </row>
    <row r="1429" spans="1:41" s="11" customFormat="1" ht="24" x14ac:dyDescent="0.25">
      <c r="A1429" s="2">
        <v>1428</v>
      </c>
      <c r="B1429" s="7" t="s">
        <v>644</v>
      </c>
      <c r="C1429" s="7" t="s">
        <v>78</v>
      </c>
      <c r="D1429" s="7" t="s">
        <v>1198</v>
      </c>
      <c r="E1429" s="7">
        <v>57</v>
      </c>
      <c r="F1429" s="8">
        <v>1</v>
      </c>
      <c r="G1429" s="8">
        <v>2</v>
      </c>
      <c r="H1429" s="7" t="s">
        <v>87</v>
      </c>
      <c r="I1429" s="7">
        <v>2</v>
      </c>
      <c r="J1429" s="9" t="s">
        <v>219</v>
      </c>
      <c r="K1429" s="7">
        <v>12</v>
      </c>
      <c r="L1429" s="7" t="s">
        <v>52</v>
      </c>
      <c r="M1429" s="7">
        <f t="shared" si="111"/>
        <v>1</v>
      </c>
      <c r="N1429" s="9" t="s">
        <v>34</v>
      </c>
      <c r="O1429" s="7">
        <v>0</v>
      </c>
      <c r="P1429" s="9" t="s">
        <v>63</v>
      </c>
      <c r="Q1429" s="7" t="s">
        <v>38</v>
      </c>
      <c r="R1429" s="7" t="s">
        <v>52</v>
      </c>
      <c r="S1429" s="10" t="s">
        <v>2199</v>
      </c>
      <c r="T1429" s="7" t="s">
        <v>1199</v>
      </c>
      <c r="U1429" s="7">
        <v>10</v>
      </c>
      <c r="V1429" s="7">
        <v>270</v>
      </c>
      <c r="W1429" s="7" t="s">
        <v>1200</v>
      </c>
      <c r="X1429" s="7"/>
      <c r="Y1429" s="7"/>
      <c r="Z1429" s="7"/>
      <c r="AA1429" s="7"/>
      <c r="AB1429" s="7">
        <f t="shared" si="114"/>
        <v>3.3333333333333335</v>
      </c>
      <c r="AC1429" s="7">
        <f t="shared" si="112"/>
        <v>3.3333333333333335</v>
      </c>
      <c r="AD1429" s="7"/>
      <c r="AE1429" s="7"/>
      <c r="AF1429" s="7"/>
      <c r="AG1429" s="7"/>
      <c r="AH1429" s="7"/>
      <c r="AI1429" s="10" t="s">
        <v>2318</v>
      </c>
      <c r="AJ1429" s="10" t="s">
        <v>2411</v>
      </c>
      <c r="AK1429" s="7"/>
      <c r="AL1429" s="9"/>
      <c r="AM1429" s="7" t="s">
        <v>215</v>
      </c>
      <c r="AN1429" s="7" t="s">
        <v>2850</v>
      </c>
      <c r="AO1429" s="12"/>
    </row>
    <row r="1430" spans="1:41" s="11" customFormat="1" ht="48" x14ac:dyDescent="0.25">
      <c r="A1430" s="2">
        <v>1429</v>
      </c>
      <c r="B1430" s="7" t="s">
        <v>1201</v>
      </c>
      <c r="C1430" s="7" t="s">
        <v>421</v>
      </c>
      <c r="D1430" s="7" t="s">
        <v>1202</v>
      </c>
      <c r="E1430" s="7">
        <f>356+79+42+40+24+22+35+26+9+16+14+6+10+11+3</f>
        <v>693</v>
      </c>
      <c r="F1430" s="8">
        <v>1</v>
      </c>
      <c r="G1430" s="9" t="s">
        <v>1203</v>
      </c>
      <c r="H1430" s="7" t="s">
        <v>1204</v>
      </c>
      <c r="I1430" s="7">
        <f>30+2+14</f>
        <v>46</v>
      </c>
      <c r="J1430" s="9" t="s">
        <v>176</v>
      </c>
      <c r="K1430" s="7" t="s">
        <v>633</v>
      </c>
      <c r="L1430" s="7" t="s">
        <v>52</v>
      </c>
      <c r="M1430" s="7">
        <f t="shared" si="111"/>
        <v>1</v>
      </c>
      <c r="N1430" s="9" t="s">
        <v>177</v>
      </c>
      <c r="O1430" s="7">
        <v>0</v>
      </c>
      <c r="P1430" s="9" t="s">
        <v>63</v>
      </c>
      <c r="Q1430" s="7" t="s">
        <v>38</v>
      </c>
      <c r="R1430" s="7" t="s">
        <v>38</v>
      </c>
      <c r="S1430" s="10" t="s">
        <v>2200</v>
      </c>
      <c r="T1430" s="7" t="s">
        <v>1205</v>
      </c>
      <c r="U1430" s="7">
        <v>48</v>
      </c>
      <c r="V1430" s="7">
        <v>150</v>
      </c>
      <c r="W1430" s="7" t="s">
        <v>239</v>
      </c>
      <c r="X1430" s="7">
        <v>40</v>
      </c>
      <c r="Y1430" s="7">
        <v>100</v>
      </c>
      <c r="Z1430" s="7">
        <v>100</v>
      </c>
      <c r="AA1430" s="7">
        <v>112</v>
      </c>
      <c r="AB1430" s="7">
        <f t="shared" si="114"/>
        <v>62.666666666666664</v>
      </c>
      <c r="AC1430" s="7">
        <f t="shared" si="112"/>
        <v>62.666666666666664</v>
      </c>
      <c r="AD1430" s="7"/>
      <c r="AE1430" s="7">
        <v>1</v>
      </c>
      <c r="AF1430" s="7" t="s">
        <v>40</v>
      </c>
      <c r="AG1430" s="7" t="s">
        <v>1206</v>
      </c>
      <c r="AH1430" s="7" t="s">
        <v>38</v>
      </c>
      <c r="AI1430" s="7"/>
      <c r="AJ1430" s="7"/>
      <c r="AK1430" s="7"/>
      <c r="AL1430" s="9" t="s">
        <v>38</v>
      </c>
      <c r="AM1430" s="7" t="s">
        <v>650</v>
      </c>
      <c r="AN1430" s="7" t="s">
        <v>2848</v>
      </c>
      <c r="AO1430" s="12"/>
    </row>
    <row r="1431" spans="1:41" s="11" customFormat="1" ht="24" x14ac:dyDescent="0.25">
      <c r="A1431" s="2">
        <v>1430</v>
      </c>
      <c r="B1431" s="7" t="s">
        <v>1207</v>
      </c>
      <c r="C1431" s="7" t="s">
        <v>1208</v>
      </c>
      <c r="D1431" s="7" t="s">
        <v>1209</v>
      </c>
      <c r="E1431" s="7">
        <f>42+35+27+22+42+19+17+15+14+12+11+18+16+10+16+6</f>
        <v>322</v>
      </c>
      <c r="F1431" s="8">
        <v>1</v>
      </c>
      <c r="G1431" s="9" t="s">
        <v>630</v>
      </c>
      <c r="H1431" s="7" t="s">
        <v>1210</v>
      </c>
      <c r="I1431" s="7">
        <v>24</v>
      </c>
      <c r="J1431" s="9" t="s">
        <v>176</v>
      </c>
      <c r="K1431" s="7">
        <v>1</v>
      </c>
      <c r="L1431" s="7" t="s">
        <v>52</v>
      </c>
      <c r="M1431" s="7">
        <f t="shared" si="111"/>
        <v>1</v>
      </c>
      <c r="N1431" s="9" t="s">
        <v>177</v>
      </c>
      <c r="O1431" s="7">
        <v>0</v>
      </c>
      <c r="P1431" s="9" t="s">
        <v>63</v>
      </c>
      <c r="Q1431" s="7" t="s">
        <v>38</v>
      </c>
      <c r="R1431" s="7" t="s">
        <v>38</v>
      </c>
      <c r="S1431" s="10" t="s">
        <v>2201</v>
      </c>
      <c r="T1431" s="7">
        <v>50</v>
      </c>
      <c r="U1431" s="7">
        <v>50</v>
      </c>
      <c r="V1431" s="7">
        <v>180</v>
      </c>
      <c r="W1431" s="7" t="s">
        <v>239</v>
      </c>
      <c r="X1431" s="7">
        <v>5</v>
      </c>
      <c r="Y1431" s="7">
        <v>20</v>
      </c>
      <c r="Z1431" s="7">
        <v>20</v>
      </c>
      <c r="AA1431" s="7">
        <v>140</v>
      </c>
      <c r="AB1431" s="7">
        <f t="shared" si="114"/>
        <v>25</v>
      </c>
      <c r="AC1431" s="7">
        <f t="shared" si="112"/>
        <v>25</v>
      </c>
      <c r="AD1431" s="7"/>
      <c r="AE1431" s="7">
        <v>1</v>
      </c>
      <c r="AF1431" s="7" t="s">
        <v>40</v>
      </c>
      <c r="AG1431" s="7" t="s">
        <v>1211</v>
      </c>
      <c r="AH1431" s="7"/>
      <c r="AI1431" s="7"/>
      <c r="AJ1431" s="7"/>
      <c r="AK1431" s="7" t="s">
        <v>1212</v>
      </c>
      <c r="AL1431" s="9"/>
      <c r="AM1431" s="7" t="s">
        <v>650</v>
      </c>
      <c r="AN1431" s="7" t="s">
        <v>2848</v>
      </c>
      <c r="AO1431" s="15"/>
    </row>
    <row r="1432" spans="1:41" s="11" customFormat="1" x14ac:dyDescent="0.25">
      <c r="A1432" s="2">
        <v>1431</v>
      </c>
      <c r="B1432" s="7" t="s">
        <v>1213</v>
      </c>
      <c r="C1432" s="7" t="s">
        <v>1214</v>
      </c>
      <c r="D1432" s="7" t="s">
        <v>1215</v>
      </c>
      <c r="E1432" s="7">
        <f>150+71+43+27</f>
        <v>291</v>
      </c>
      <c r="F1432" s="8">
        <v>1</v>
      </c>
      <c r="G1432" s="9" t="s">
        <v>706</v>
      </c>
      <c r="H1432" s="7">
        <v>4</v>
      </c>
      <c r="I1432" s="7">
        <v>4</v>
      </c>
      <c r="J1432" s="9" t="s">
        <v>176</v>
      </c>
      <c r="K1432" s="7">
        <v>1</v>
      </c>
      <c r="L1432" s="7" t="s">
        <v>52</v>
      </c>
      <c r="M1432" s="7">
        <f t="shared" si="111"/>
        <v>1</v>
      </c>
      <c r="N1432" s="9" t="s">
        <v>177</v>
      </c>
      <c r="O1432" s="7">
        <v>0</v>
      </c>
      <c r="P1432" s="9" t="s">
        <v>63</v>
      </c>
      <c r="Q1432" s="7" t="s">
        <v>38</v>
      </c>
      <c r="R1432" s="7" t="s">
        <v>38</v>
      </c>
      <c r="S1432" s="10" t="s">
        <v>2202</v>
      </c>
      <c r="T1432" s="7"/>
      <c r="U1432" s="7"/>
      <c r="V1432" s="7"/>
      <c r="W1432" s="7"/>
      <c r="X1432" s="7">
        <v>3</v>
      </c>
      <c r="Y1432" s="7">
        <v>100</v>
      </c>
      <c r="Z1432" s="7">
        <v>100</v>
      </c>
      <c r="AA1432" s="7">
        <v>112</v>
      </c>
      <c r="AB1432" s="7">
        <f t="shared" si="114"/>
        <v>34.333333333333336</v>
      </c>
      <c r="AC1432" s="7">
        <f t="shared" si="112"/>
        <v>34.333333333333336</v>
      </c>
      <c r="AD1432" s="7"/>
      <c r="AE1432" s="7"/>
      <c r="AF1432" s="7"/>
      <c r="AG1432" s="7"/>
      <c r="AH1432" s="7"/>
      <c r="AI1432" s="7"/>
      <c r="AJ1432" s="7"/>
      <c r="AK1432" s="7"/>
      <c r="AL1432" s="9"/>
      <c r="AM1432" s="7" t="s">
        <v>137</v>
      </c>
      <c r="AN1432" s="7" t="s">
        <v>2848</v>
      </c>
      <c r="AO1432" s="15" t="s">
        <v>2723</v>
      </c>
    </row>
    <row r="1433" spans="1:41" s="11" customFormat="1" ht="24" x14ac:dyDescent="0.25">
      <c r="A1433" s="2">
        <v>1432</v>
      </c>
      <c r="B1433" s="7" t="s">
        <v>1216</v>
      </c>
      <c r="C1433" s="7" t="s">
        <v>1217</v>
      </c>
      <c r="D1433" s="7" t="s">
        <v>1481</v>
      </c>
      <c r="E1433" s="7">
        <f>50+27+24+10+6+4+2</f>
        <v>123</v>
      </c>
      <c r="F1433" s="8">
        <v>1</v>
      </c>
      <c r="G1433" s="9" t="s">
        <v>1218</v>
      </c>
      <c r="H1433" s="7" t="s">
        <v>790</v>
      </c>
      <c r="I1433" s="7">
        <v>7</v>
      </c>
      <c r="J1433" s="9" t="s">
        <v>176</v>
      </c>
      <c r="K1433" s="7">
        <v>1</v>
      </c>
      <c r="L1433" s="7" t="s">
        <v>52</v>
      </c>
      <c r="M1433" s="7">
        <f t="shared" si="111"/>
        <v>1</v>
      </c>
      <c r="N1433" s="9" t="s">
        <v>177</v>
      </c>
      <c r="O1433" s="7">
        <v>0</v>
      </c>
      <c r="P1433" s="9" t="s">
        <v>63</v>
      </c>
      <c r="Q1433" s="7" t="s">
        <v>38</v>
      </c>
      <c r="R1433" s="7" t="s">
        <v>38</v>
      </c>
      <c r="S1433" s="10" t="s">
        <v>674</v>
      </c>
      <c r="T1433" s="7"/>
      <c r="U1433" s="7"/>
      <c r="V1433" s="7"/>
      <c r="W1433" s="7"/>
      <c r="X1433" s="7">
        <v>5</v>
      </c>
      <c r="Y1433" s="7"/>
      <c r="Z1433" s="7"/>
      <c r="AA1433" s="7"/>
      <c r="AB1433" s="7">
        <f t="shared" si="114"/>
        <v>1.6666666666666667</v>
      </c>
      <c r="AC1433" s="7">
        <f t="shared" si="112"/>
        <v>1.6666666666666667</v>
      </c>
      <c r="AD1433" s="7"/>
      <c r="AE1433" s="7">
        <v>1</v>
      </c>
      <c r="AF1433" s="7"/>
      <c r="AG1433" s="7" t="s">
        <v>973</v>
      </c>
      <c r="AH1433" s="7" t="s">
        <v>38</v>
      </c>
      <c r="AI1433" s="7"/>
      <c r="AJ1433" s="7"/>
      <c r="AK1433" s="7"/>
      <c r="AL1433" s="9"/>
      <c r="AM1433" s="7" t="s">
        <v>650</v>
      </c>
      <c r="AN1433" s="7" t="s">
        <v>2848</v>
      </c>
      <c r="AO1433" s="15" t="s">
        <v>2724</v>
      </c>
    </row>
    <row r="1434" spans="1:41" s="11" customFormat="1" ht="24" x14ac:dyDescent="0.25">
      <c r="A1434" s="2">
        <v>1433</v>
      </c>
      <c r="B1434" s="7" t="s">
        <v>1219</v>
      </c>
      <c r="C1434" s="7" t="s">
        <v>245</v>
      </c>
      <c r="D1434" s="7" t="s">
        <v>1220</v>
      </c>
      <c r="E1434" s="7">
        <f>33+26+21+8+6</f>
        <v>94</v>
      </c>
      <c r="F1434" s="8">
        <v>1</v>
      </c>
      <c r="G1434" s="9" t="s">
        <v>1221</v>
      </c>
      <c r="H1434" s="7" t="s">
        <v>1222</v>
      </c>
      <c r="I1434" s="7">
        <v>7</v>
      </c>
      <c r="J1434" s="9" t="s">
        <v>176</v>
      </c>
      <c r="K1434" s="7">
        <v>1</v>
      </c>
      <c r="L1434" s="7" t="s">
        <v>52</v>
      </c>
      <c r="M1434" s="7">
        <f t="shared" si="111"/>
        <v>1</v>
      </c>
      <c r="N1434" s="9" t="s">
        <v>177</v>
      </c>
      <c r="O1434" s="7">
        <v>0</v>
      </c>
      <c r="P1434" s="9" t="s">
        <v>63</v>
      </c>
      <c r="Q1434" s="7" t="s">
        <v>38</v>
      </c>
      <c r="R1434" s="7" t="s">
        <v>38</v>
      </c>
      <c r="S1434" s="10" t="s">
        <v>2203</v>
      </c>
      <c r="T1434" s="7" t="s">
        <v>1223</v>
      </c>
      <c r="U1434" s="7">
        <v>32</v>
      </c>
      <c r="V1434" s="7">
        <v>170</v>
      </c>
      <c r="W1434" s="7" t="s">
        <v>239</v>
      </c>
      <c r="X1434" s="7"/>
      <c r="Y1434" s="7"/>
      <c r="Z1434" s="7"/>
      <c r="AA1434" s="7"/>
      <c r="AB1434" s="7">
        <f t="shared" si="114"/>
        <v>10.666666666666666</v>
      </c>
      <c r="AC1434" s="7">
        <f t="shared" si="112"/>
        <v>10.666666666666666</v>
      </c>
      <c r="AD1434" s="7">
        <v>1</v>
      </c>
      <c r="AE1434" s="7"/>
      <c r="AF1434" s="7" t="s">
        <v>40</v>
      </c>
      <c r="AG1434" s="7" t="s">
        <v>1224</v>
      </c>
      <c r="AH1434" s="7"/>
      <c r="AI1434" s="7"/>
      <c r="AJ1434" s="7"/>
      <c r="AK1434" s="7" t="s">
        <v>252</v>
      </c>
      <c r="AL1434" s="9"/>
      <c r="AM1434" s="7" t="s">
        <v>650</v>
      </c>
      <c r="AN1434" s="7" t="s">
        <v>2848</v>
      </c>
      <c r="AO1434" s="12"/>
    </row>
    <row r="1435" spans="1:41" s="11" customFormat="1" x14ac:dyDescent="0.25">
      <c r="A1435" s="2">
        <v>1434</v>
      </c>
      <c r="B1435" s="7" t="s">
        <v>655</v>
      </c>
      <c r="C1435" s="7" t="s">
        <v>100</v>
      </c>
      <c r="D1435" s="7">
        <v>10</v>
      </c>
      <c r="E1435" s="7">
        <v>10</v>
      </c>
      <c r="F1435" s="8">
        <v>1</v>
      </c>
      <c r="G1435" s="8">
        <v>1</v>
      </c>
      <c r="H1435" s="7">
        <v>1</v>
      </c>
      <c r="I1435" s="7">
        <v>1</v>
      </c>
      <c r="J1435" s="9" t="s">
        <v>176</v>
      </c>
      <c r="K1435" s="7">
        <v>1</v>
      </c>
      <c r="L1435" s="7" t="s">
        <v>52</v>
      </c>
      <c r="M1435" s="7">
        <f t="shared" si="111"/>
        <v>1</v>
      </c>
      <c r="N1435" s="9"/>
      <c r="O1435" s="7"/>
      <c r="P1435" s="9"/>
      <c r="Q1435" s="7"/>
      <c r="R1435" s="7"/>
      <c r="S1435" s="7"/>
      <c r="T1435" s="7"/>
      <c r="U1435" s="7"/>
      <c r="V1435" s="7"/>
      <c r="W1435" s="7"/>
      <c r="X1435" s="7">
        <v>3</v>
      </c>
      <c r="Y1435" s="7"/>
      <c r="Z1435" s="7"/>
      <c r="AA1435" s="7"/>
      <c r="AB1435" s="7">
        <f t="shared" si="114"/>
        <v>1</v>
      </c>
      <c r="AC1435" s="7">
        <f t="shared" si="112"/>
        <v>1</v>
      </c>
      <c r="AD1435" s="7"/>
      <c r="AE1435" s="7"/>
      <c r="AF1435" s="7"/>
      <c r="AG1435" s="7"/>
      <c r="AH1435" s="7"/>
      <c r="AI1435" s="7"/>
      <c r="AJ1435" s="7"/>
      <c r="AK1435" s="7"/>
      <c r="AL1435" s="9"/>
      <c r="AM1435" s="7" t="s">
        <v>71</v>
      </c>
      <c r="AN1435" s="7" t="s">
        <v>71</v>
      </c>
      <c r="AO1435" s="15" t="s">
        <v>2725</v>
      </c>
    </row>
    <row r="1436" spans="1:41" s="11" customFormat="1" ht="24" x14ac:dyDescent="0.25">
      <c r="A1436" s="2">
        <v>1435</v>
      </c>
      <c r="B1436" s="7" t="s">
        <v>240</v>
      </c>
      <c r="C1436" s="7" t="s">
        <v>78</v>
      </c>
      <c r="D1436" s="7">
        <v>95</v>
      </c>
      <c r="E1436" s="7">
        <v>95</v>
      </c>
      <c r="F1436" s="8">
        <v>1</v>
      </c>
      <c r="G1436" s="8">
        <v>2</v>
      </c>
      <c r="H1436" s="7">
        <v>2</v>
      </c>
      <c r="I1436" s="7">
        <v>2</v>
      </c>
      <c r="J1436" s="9" t="s">
        <v>176</v>
      </c>
      <c r="K1436" s="7">
        <v>6</v>
      </c>
      <c r="L1436" s="7" t="s">
        <v>52</v>
      </c>
      <c r="M1436" s="7">
        <f t="shared" si="111"/>
        <v>1</v>
      </c>
      <c r="N1436" s="9" t="s">
        <v>177</v>
      </c>
      <c r="O1436" s="7">
        <v>0</v>
      </c>
      <c r="P1436" s="9" t="s">
        <v>63</v>
      </c>
      <c r="Q1436" s="7" t="s">
        <v>38</v>
      </c>
      <c r="R1436" s="7" t="s">
        <v>52</v>
      </c>
      <c r="S1436" s="10" t="s">
        <v>2204</v>
      </c>
      <c r="T1436" s="7">
        <v>10</v>
      </c>
      <c r="U1436" s="7">
        <v>10</v>
      </c>
      <c r="V1436" s="7">
        <v>280</v>
      </c>
      <c r="W1436" s="7" t="s">
        <v>1225</v>
      </c>
      <c r="X1436" s="7"/>
      <c r="Y1436" s="7"/>
      <c r="Z1436" s="7"/>
      <c r="AA1436" s="7"/>
      <c r="AB1436" s="7">
        <f t="shared" si="114"/>
        <v>3.3333333333333335</v>
      </c>
      <c r="AC1436" s="7">
        <f t="shared" si="112"/>
        <v>3.3333333333333335</v>
      </c>
      <c r="AD1436" s="7"/>
      <c r="AE1436" s="7"/>
      <c r="AF1436" s="7"/>
      <c r="AG1436" s="7"/>
      <c r="AH1436" s="7"/>
      <c r="AI1436" s="7"/>
      <c r="AJ1436" s="7"/>
      <c r="AK1436" s="7"/>
      <c r="AL1436" s="9"/>
      <c r="AM1436" s="7" t="s">
        <v>1226</v>
      </c>
      <c r="AN1436" s="7" t="s">
        <v>662</v>
      </c>
      <c r="AO1436" s="12"/>
    </row>
    <row r="1437" spans="1:41" s="11" customFormat="1" x14ac:dyDescent="0.25">
      <c r="A1437" s="2">
        <v>1436</v>
      </c>
      <c r="B1437" s="7" t="s">
        <v>240</v>
      </c>
      <c r="C1437" s="7" t="s">
        <v>50</v>
      </c>
      <c r="D1437" s="7" t="s">
        <v>1227</v>
      </c>
      <c r="E1437" s="7">
        <f>149+88+43</f>
        <v>280</v>
      </c>
      <c r="F1437" s="8">
        <v>1</v>
      </c>
      <c r="G1437" s="8">
        <v>3</v>
      </c>
      <c r="H1437" s="7" t="s">
        <v>97</v>
      </c>
      <c r="I1437" s="7">
        <v>3</v>
      </c>
      <c r="J1437" s="9" t="s">
        <v>176</v>
      </c>
      <c r="K1437" s="7">
        <v>6</v>
      </c>
      <c r="L1437" s="7" t="s">
        <v>52</v>
      </c>
      <c r="M1437" s="7">
        <f t="shared" si="111"/>
        <v>1</v>
      </c>
      <c r="N1437" s="9" t="s">
        <v>177</v>
      </c>
      <c r="O1437" s="7">
        <v>0</v>
      </c>
      <c r="P1437" s="9" t="s">
        <v>63</v>
      </c>
      <c r="Q1437" s="7" t="s">
        <v>38</v>
      </c>
      <c r="R1437" s="7" t="s">
        <v>38</v>
      </c>
      <c r="S1437" s="7" t="s">
        <v>1228</v>
      </c>
      <c r="T1437" s="7"/>
      <c r="U1437" s="7"/>
      <c r="V1437" s="7"/>
      <c r="W1437" s="7"/>
      <c r="X1437" s="7"/>
      <c r="Y1437" s="7" t="s">
        <v>1229</v>
      </c>
      <c r="Z1437" s="7">
        <v>21</v>
      </c>
      <c r="AA1437" s="7" t="s">
        <v>286</v>
      </c>
      <c r="AB1437" s="7">
        <f t="shared" si="114"/>
        <v>7</v>
      </c>
      <c r="AC1437" s="7">
        <f t="shared" si="112"/>
        <v>7</v>
      </c>
      <c r="AD1437" s="7"/>
      <c r="AE1437" s="7"/>
      <c r="AF1437" s="7"/>
      <c r="AG1437" s="7"/>
      <c r="AH1437" s="7"/>
      <c r="AI1437" s="10" t="s">
        <v>2319</v>
      </c>
      <c r="AJ1437" s="7"/>
      <c r="AK1437" s="7"/>
      <c r="AL1437" s="9"/>
      <c r="AM1437" s="7" t="s">
        <v>71</v>
      </c>
      <c r="AN1437" s="7" t="s">
        <v>71</v>
      </c>
      <c r="AO1437" s="15"/>
    </row>
    <row r="1438" spans="1:41" s="11" customFormat="1" x14ac:dyDescent="0.25">
      <c r="A1438" s="2">
        <v>1437</v>
      </c>
      <c r="B1438" s="7" t="s">
        <v>240</v>
      </c>
      <c r="C1438" s="7" t="s">
        <v>89</v>
      </c>
      <c r="D1438" s="7" t="s">
        <v>1230</v>
      </c>
      <c r="E1438" s="7">
        <f>52+35+42+19+24</f>
        <v>172</v>
      </c>
      <c r="F1438" s="8">
        <v>2</v>
      </c>
      <c r="G1438" s="8">
        <v>7</v>
      </c>
      <c r="H1438" s="7" t="s">
        <v>122</v>
      </c>
      <c r="I1438" s="7">
        <v>7</v>
      </c>
      <c r="J1438" s="9" t="s">
        <v>176</v>
      </c>
      <c r="K1438" s="7">
        <v>6</v>
      </c>
      <c r="L1438" s="7" t="s">
        <v>52</v>
      </c>
      <c r="M1438" s="7">
        <f t="shared" si="111"/>
        <v>2</v>
      </c>
      <c r="N1438" s="9"/>
      <c r="O1438" s="7"/>
      <c r="P1438" s="9"/>
      <c r="Q1438" s="7"/>
      <c r="R1438" s="7"/>
      <c r="S1438" s="7"/>
      <c r="T1438" s="7"/>
      <c r="U1438" s="7"/>
      <c r="V1438" s="7"/>
      <c r="W1438" s="7"/>
      <c r="X1438" s="7">
        <v>3</v>
      </c>
      <c r="Y1438" s="7"/>
      <c r="Z1438" s="7"/>
      <c r="AA1438" s="7"/>
      <c r="AB1438" s="7">
        <f t="shared" si="114"/>
        <v>1</v>
      </c>
      <c r="AC1438" s="7">
        <f t="shared" si="112"/>
        <v>1</v>
      </c>
      <c r="AD1438" s="7"/>
      <c r="AE1438" s="7"/>
      <c r="AF1438" s="7"/>
      <c r="AG1438" s="7"/>
      <c r="AH1438" s="7"/>
      <c r="AI1438" s="10" t="s">
        <v>2320</v>
      </c>
      <c r="AJ1438" s="7"/>
      <c r="AK1438" s="7"/>
      <c r="AL1438" s="9"/>
      <c r="AM1438" s="7" t="s">
        <v>71</v>
      </c>
      <c r="AN1438" s="7" t="s">
        <v>71</v>
      </c>
      <c r="AO1438" s="12"/>
    </row>
    <row r="1439" spans="1:41" s="11" customFormat="1" x14ac:dyDescent="0.25">
      <c r="A1439" s="2">
        <v>1438</v>
      </c>
      <c r="B1439" s="7" t="s">
        <v>57</v>
      </c>
      <c r="C1439" s="7" t="s">
        <v>100</v>
      </c>
      <c r="D1439" s="7">
        <v>32</v>
      </c>
      <c r="E1439" s="7">
        <v>32</v>
      </c>
      <c r="F1439" s="8">
        <v>1</v>
      </c>
      <c r="G1439" s="8">
        <v>1</v>
      </c>
      <c r="H1439" s="7">
        <v>1</v>
      </c>
      <c r="I1439" s="7">
        <v>1</v>
      </c>
      <c r="J1439" s="9" t="s">
        <v>176</v>
      </c>
      <c r="K1439" s="7">
        <v>6</v>
      </c>
      <c r="L1439" s="7" t="s">
        <v>52</v>
      </c>
      <c r="M1439" s="7">
        <f t="shared" si="111"/>
        <v>1</v>
      </c>
      <c r="N1439" s="9"/>
      <c r="O1439" s="7"/>
      <c r="P1439" s="9"/>
      <c r="Q1439" s="7"/>
      <c r="R1439" s="7"/>
      <c r="S1439" s="7"/>
      <c r="T1439" s="7"/>
      <c r="U1439" s="7"/>
      <c r="V1439" s="7"/>
      <c r="W1439" s="7"/>
      <c r="X1439" s="7">
        <v>3</v>
      </c>
      <c r="Y1439" s="7"/>
      <c r="Z1439" s="7"/>
      <c r="AA1439" s="7"/>
      <c r="AB1439" s="7">
        <f t="shared" si="114"/>
        <v>1</v>
      </c>
      <c r="AC1439" s="7">
        <f t="shared" si="112"/>
        <v>1</v>
      </c>
      <c r="AD1439" s="7"/>
      <c r="AE1439" s="7"/>
      <c r="AF1439" s="7"/>
      <c r="AG1439" s="7"/>
      <c r="AH1439" s="7"/>
      <c r="AI1439" s="10" t="s">
        <v>2321</v>
      </c>
      <c r="AJ1439" s="7"/>
      <c r="AK1439" s="7"/>
      <c r="AL1439" s="9"/>
      <c r="AM1439" s="7" t="s">
        <v>71</v>
      </c>
      <c r="AN1439" s="7" t="s">
        <v>71</v>
      </c>
      <c r="AO1439" s="12"/>
    </row>
    <row r="1440" spans="1:41" s="11" customFormat="1" x14ac:dyDescent="0.25">
      <c r="A1440" s="2">
        <v>1439</v>
      </c>
      <c r="B1440" s="7" t="s">
        <v>730</v>
      </c>
      <c r="C1440" s="7" t="s">
        <v>100</v>
      </c>
      <c r="D1440" s="7">
        <v>23</v>
      </c>
      <c r="E1440" s="7">
        <v>23</v>
      </c>
      <c r="F1440" s="8">
        <v>1</v>
      </c>
      <c r="G1440" s="8">
        <v>1</v>
      </c>
      <c r="H1440" s="7">
        <v>1</v>
      </c>
      <c r="I1440" s="7">
        <v>1</v>
      </c>
      <c r="J1440" s="9" t="s">
        <v>176</v>
      </c>
      <c r="K1440" s="7">
        <v>6</v>
      </c>
      <c r="L1440" s="7" t="s">
        <v>52</v>
      </c>
      <c r="M1440" s="7">
        <f t="shared" si="111"/>
        <v>1</v>
      </c>
      <c r="N1440" s="9"/>
      <c r="O1440" s="7"/>
      <c r="P1440" s="9"/>
      <c r="Q1440" s="7"/>
      <c r="R1440" s="7"/>
      <c r="S1440" s="7"/>
      <c r="T1440" s="7"/>
      <c r="U1440" s="7"/>
      <c r="V1440" s="7"/>
      <c r="W1440" s="7"/>
      <c r="X1440" s="7">
        <v>3</v>
      </c>
      <c r="Y1440" s="7"/>
      <c r="Z1440" s="7"/>
      <c r="AA1440" s="7"/>
      <c r="AB1440" s="7">
        <f t="shared" si="114"/>
        <v>1</v>
      </c>
      <c r="AC1440" s="7">
        <f t="shared" si="112"/>
        <v>1</v>
      </c>
      <c r="AD1440" s="7"/>
      <c r="AE1440" s="7"/>
      <c r="AF1440" s="7"/>
      <c r="AG1440" s="7"/>
      <c r="AH1440" s="7"/>
      <c r="AI1440" s="7"/>
      <c r="AJ1440" s="7"/>
      <c r="AK1440" s="7"/>
      <c r="AL1440" s="9"/>
      <c r="AM1440" s="7" t="s">
        <v>71</v>
      </c>
      <c r="AN1440" s="7" t="s">
        <v>71</v>
      </c>
      <c r="AO1440" s="12"/>
    </row>
    <row r="1441" spans="1:41" s="11" customFormat="1" x14ac:dyDescent="0.25">
      <c r="A1441" s="2">
        <v>1440</v>
      </c>
      <c r="B1441" s="7" t="s">
        <v>296</v>
      </c>
      <c r="C1441" s="7" t="s">
        <v>100</v>
      </c>
      <c r="D1441" s="7">
        <v>9</v>
      </c>
      <c r="E1441" s="7">
        <v>9</v>
      </c>
      <c r="F1441" s="8">
        <v>1</v>
      </c>
      <c r="G1441" s="8">
        <v>1</v>
      </c>
      <c r="H1441" s="7">
        <v>1</v>
      </c>
      <c r="I1441" s="7">
        <v>1</v>
      </c>
      <c r="J1441" s="9" t="s">
        <v>176</v>
      </c>
      <c r="K1441" s="7">
        <v>6</v>
      </c>
      <c r="L1441" s="7" t="s">
        <v>52</v>
      </c>
      <c r="M1441" s="7">
        <f t="shared" si="111"/>
        <v>1</v>
      </c>
      <c r="N1441" s="9"/>
      <c r="O1441" s="7"/>
      <c r="P1441" s="9"/>
      <c r="Q1441" s="7"/>
      <c r="R1441" s="7"/>
      <c r="S1441" s="7"/>
      <c r="T1441" s="7"/>
      <c r="U1441" s="7"/>
      <c r="V1441" s="7"/>
      <c r="W1441" s="7"/>
      <c r="X1441" s="7">
        <v>3</v>
      </c>
      <c r="Y1441" s="7"/>
      <c r="Z1441" s="7"/>
      <c r="AA1441" s="7"/>
      <c r="AB1441" s="7">
        <f t="shared" si="114"/>
        <v>1</v>
      </c>
      <c r="AC1441" s="7">
        <f t="shared" si="112"/>
        <v>1</v>
      </c>
      <c r="AD1441" s="7"/>
      <c r="AE1441" s="7"/>
      <c r="AF1441" s="7"/>
      <c r="AG1441" s="7"/>
      <c r="AH1441" s="7"/>
      <c r="AI1441" s="7"/>
      <c r="AJ1441" s="7"/>
      <c r="AK1441" s="7"/>
      <c r="AL1441" s="9"/>
      <c r="AM1441" s="7" t="s">
        <v>71</v>
      </c>
      <c r="AN1441" s="7" t="s">
        <v>71</v>
      </c>
      <c r="AO1441" s="12"/>
    </row>
    <row r="1442" spans="1:41" s="11" customFormat="1" ht="24" x14ac:dyDescent="0.25">
      <c r="A1442" s="2">
        <v>1441</v>
      </c>
      <c r="B1442" s="7" t="s">
        <v>1231</v>
      </c>
      <c r="C1442" s="7" t="s">
        <v>347</v>
      </c>
      <c r="D1442" s="7" t="s">
        <v>1232</v>
      </c>
      <c r="E1442" s="7">
        <f>155+150+68+48+39+25+17</f>
        <v>502</v>
      </c>
      <c r="F1442" s="8">
        <v>1</v>
      </c>
      <c r="G1442" s="9" t="s">
        <v>1233</v>
      </c>
      <c r="H1442" s="7">
        <v>10</v>
      </c>
      <c r="I1442" s="7">
        <v>10</v>
      </c>
      <c r="J1442" s="9" t="s">
        <v>176</v>
      </c>
      <c r="K1442" s="7">
        <v>2</v>
      </c>
      <c r="L1442" s="7" t="s">
        <v>52</v>
      </c>
      <c r="M1442" s="7">
        <f t="shared" si="111"/>
        <v>1</v>
      </c>
      <c r="N1442" s="9" t="s">
        <v>177</v>
      </c>
      <c r="O1442" s="7">
        <v>1</v>
      </c>
      <c r="P1442" s="9" t="s">
        <v>63</v>
      </c>
      <c r="Q1442" s="7" t="s">
        <v>38</v>
      </c>
      <c r="R1442" s="7" t="s">
        <v>52</v>
      </c>
      <c r="S1442" s="10" t="s">
        <v>2205</v>
      </c>
      <c r="T1442" s="7">
        <v>33</v>
      </c>
      <c r="U1442" s="7">
        <v>33</v>
      </c>
      <c r="V1442" s="7">
        <v>310</v>
      </c>
      <c r="W1442" s="7" t="s">
        <v>1234</v>
      </c>
      <c r="X1442" s="7">
        <v>25</v>
      </c>
      <c r="Y1442" s="7">
        <v>30</v>
      </c>
      <c r="Z1442" s="7">
        <v>30</v>
      </c>
      <c r="AA1442" s="7">
        <v>180</v>
      </c>
      <c r="AB1442" s="7">
        <f t="shared" si="114"/>
        <v>29.333333333333332</v>
      </c>
      <c r="AC1442" s="7">
        <f t="shared" si="112"/>
        <v>29.333333333333332</v>
      </c>
      <c r="AD1442" s="7"/>
      <c r="AE1442" s="7"/>
      <c r="AF1442" s="7"/>
      <c r="AG1442" s="7"/>
      <c r="AH1442" s="7"/>
      <c r="AI1442" s="7"/>
      <c r="AJ1442" s="7"/>
      <c r="AK1442" s="7"/>
      <c r="AL1442" s="9" t="s">
        <v>38</v>
      </c>
      <c r="AM1442" s="7" t="s">
        <v>215</v>
      </c>
      <c r="AN1442" s="7" t="s">
        <v>2850</v>
      </c>
      <c r="AO1442" s="12"/>
    </row>
    <row r="1443" spans="1:41" s="11" customFormat="1" ht="24" x14ac:dyDescent="0.25">
      <c r="A1443" s="2">
        <v>1442</v>
      </c>
      <c r="B1443" s="7" t="s">
        <v>1235</v>
      </c>
      <c r="C1443" s="7" t="s">
        <v>269</v>
      </c>
      <c r="D1443" s="7" t="s">
        <v>1236</v>
      </c>
      <c r="E1443" s="7">
        <v>49</v>
      </c>
      <c r="F1443" s="8">
        <v>1</v>
      </c>
      <c r="G1443" s="9" t="s">
        <v>196</v>
      </c>
      <c r="H1443" s="7">
        <v>2</v>
      </c>
      <c r="I1443" s="7">
        <v>2</v>
      </c>
      <c r="J1443" s="9" t="s">
        <v>176</v>
      </c>
      <c r="K1443" s="7">
        <v>2</v>
      </c>
      <c r="L1443" s="7" t="s">
        <v>52</v>
      </c>
      <c r="M1443" s="7">
        <f t="shared" si="111"/>
        <v>1</v>
      </c>
      <c r="N1443" s="9" t="s">
        <v>177</v>
      </c>
      <c r="O1443" s="7">
        <v>0</v>
      </c>
      <c r="P1443" s="9" t="s">
        <v>63</v>
      </c>
      <c r="Q1443" s="7" t="s">
        <v>38</v>
      </c>
      <c r="R1443" s="7" t="s">
        <v>52</v>
      </c>
      <c r="S1443" s="10" t="s">
        <v>2206</v>
      </c>
      <c r="T1443" s="7">
        <v>7</v>
      </c>
      <c r="U1443" s="7">
        <v>7</v>
      </c>
      <c r="V1443" s="7" t="s">
        <v>272</v>
      </c>
      <c r="W1443" s="7" t="s">
        <v>1237</v>
      </c>
      <c r="X1443" s="7">
        <v>3</v>
      </c>
      <c r="Y1443" s="7"/>
      <c r="Z1443" s="7"/>
      <c r="AA1443" s="7"/>
      <c r="AB1443" s="7">
        <f t="shared" si="114"/>
        <v>3.3333333333333335</v>
      </c>
      <c r="AC1443" s="7">
        <f t="shared" si="112"/>
        <v>3.3333333333333335</v>
      </c>
      <c r="AD1443" s="7"/>
      <c r="AE1443" s="7"/>
      <c r="AF1443" s="7"/>
      <c r="AG1443" s="7"/>
      <c r="AH1443" s="7"/>
      <c r="AI1443" s="10" t="s">
        <v>2322</v>
      </c>
      <c r="AJ1443" s="7"/>
      <c r="AK1443" s="7"/>
      <c r="AL1443" s="9"/>
      <c r="AM1443" s="7" t="s">
        <v>215</v>
      </c>
      <c r="AN1443" s="7" t="s">
        <v>2850</v>
      </c>
      <c r="AO1443" s="12"/>
    </row>
    <row r="1444" spans="1:41" s="11" customFormat="1" ht="24" x14ac:dyDescent="0.25">
      <c r="A1444" s="2">
        <v>1443</v>
      </c>
      <c r="B1444" s="7" t="s">
        <v>296</v>
      </c>
      <c r="C1444" s="7" t="s">
        <v>50</v>
      </c>
      <c r="D1444" s="7">
        <v>28</v>
      </c>
      <c r="E1444" s="7">
        <v>28</v>
      </c>
      <c r="F1444" s="8">
        <v>1</v>
      </c>
      <c r="G1444" s="8">
        <v>1</v>
      </c>
      <c r="H1444" s="7">
        <v>1</v>
      </c>
      <c r="I1444" s="7">
        <v>1</v>
      </c>
      <c r="J1444" s="9" t="s">
        <v>176</v>
      </c>
      <c r="K1444" s="7">
        <v>2</v>
      </c>
      <c r="L1444" s="7" t="s">
        <v>52</v>
      </c>
      <c r="M1444" s="7">
        <f t="shared" si="111"/>
        <v>1</v>
      </c>
      <c r="N1444" s="9" t="s">
        <v>177</v>
      </c>
      <c r="O1444" s="7">
        <v>0</v>
      </c>
      <c r="P1444" s="9" t="s">
        <v>63</v>
      </c>
      <c r="Q1444" s="7" t="s">
        <v>38</v>
      </c>
      <c r="R1444" s="7" t="s">
        <v>52</v>
      </c>
      <c r="S1444" s="10" t="s">
        <v>2207</v>
      </c>
      <c r="T1444" s="7"/>
      <c r="U1444" s="7"/>
      <c r="V1444" s="7"/>
      <c r="W1444" s="7"/>
      <c r="X1444" s="7"/>
      <c r="Y1444" s="7">
        <v>5</v>
      </c>
      <c r="Z1444" s="7">
        <v>5</v>
      </c>
      <c r="AA1444" s="7" t="s">
        <v>403</v>
      </c>
      <c r="AB1444" s="7">
        <f t="shared" si="114"/>
        <v>1.6666666666666667</v>
      </c>
      <c r="AC1444" s="7">
        <f t="shared" si="112"/>
        <v>1.6666666666666667</v>
      </c>
      <c r="AD1444" s="7"/>
      <c r="AE1444" s="7"/>
      <c r="AF1444" s="7"/>
      <c r="AG1444" s="7"/>
      <c r="AH1444" s="7"/>
      <c r="AI1444" s="7"/>
      <c r="AJ1444" s="7"/>
      <c r="AK1444" s="7"/>
      <c r="AL1444" s="9"/>
      <c r="AM1444" s="7" t="s">
        <v>71</v>
      </c>
      <c r="AN1444" s="7" t="s">
        <v>71</v>
      </c>
      <c r="AO1444" s="12"/>
    </row>
    <row r="1445" spans="1:41" s="11" customFormat="1" ht="24" x14ac:dyDescent="0.25">
      <c r="A1445" s="2">
        <v>1444</v>
      </c>
      <c r="B1445" s="7" t="s">
        <v>57</v>
      </c>
      <c r="C1445" s="7" t="s">
        <v>78</v>
      </c>
      <c r="D1445" s="7">
        <v>49</v>
      </c>
      <c r="E1445" s="7">
        <v>49</v>
      </c>
      <c r="F1445" s="8">
        <v>1</v>
      </c>
      <c r="G1445" s="8">
        <v>1</v>
      </c>
      <c r="H1445" s="7">
        <v>1</v>
      </c>
      <c r="I1445" s="7">
        <v>1</v>
      </c>
      <c r="J1445" s="9" t="s">
        <v>176</v>
      </c>
      <c r="K1445" s="7">
        <v>2</v>
      </c>
      <c r="L1445" s="7" t="s">
        <v>52</v>
      </c>
      <c r="M1445" s="7">
        <f t="shared" si="111"/>
        <v>1</v>
      </c>
      <c r="N1445" s="9" t="s">
        <v>177</v>
      </c>
      <c r="O1445" s="7">
        <v>0</v>
      </c>
      <c r="P1445" s="9" t="s">
        <v>63</v>
      </c>
      <c r="Q1445" s="7" t="s">
        <v>38</v>
      </c>
      <c r="R1445" s="7" t="s">
        <v>52</v>
      </c>
      <c r="S1445" s="10" t="s">
        <v>2208</v>
      </c>
      <c r="T1445" s="7">
        <v>7</v>
      </c>
      <c r="U1445" s="7">
        <v>7</v>
      </c>
      <c r="V1445" s="7">
        <v>320</v>
      </c>
      <c r="W1445" s="7" t="s">
        <v>331</v>
      </c>
      <c r="X1445" s="7"/>
      <c r="Y1445" s="7"/>
      <c r="Z1445" s="7"/>
      <c r="AA1445" s="7"/>
      <c r="AB1445" s="7">
        <f t="shared" si="114"/>
        <v>2.3333333333333335</v>
      </c>
      <c r="AC1445" s="7">
        <f t="shared" si="112"/>
        <v>2.3333333333333335</v>
      </c>
      <c r="AD1445" s="7"/>
      <c r="AE1445" s="7"/>
      <c r="AF1445" s="7"/>
      <c r="AG1445" s="7"/>
      <c r="AH1445" s="7"/>
      <c r="AI1445" s="10" t="s">
        <v>2323</v>
      </c>
      <c r="AJ1445" s="7"/>
      <c r="AK1445" s="7"/>
      <c r="AL1445" s="9"/>
      <c r="AM1445" s="7" t="s">
        <v>215</v>
      </c>
      <c r="AN1445" s="7" t="s">
        <v>2850</v>
      </c>
      <c r="AO1445" s="12"/>
    </row>
    <row r="1446" spans="1:41" s="11" customFormat="1" ht="24" x14ac:dyDescent="0.25">
      <c r="A1446" s="2">
        <v>1445</v>
      </c>
      <c r="B1446" s="7" t="s">
        <v>1238</v>
      </c>
      <c r="C1446" s="7" t="s">
        <v>421</v>
      </c>
      <c r="D1446" s="7" t="s">
        <v>1239</v>
      </c>
      <c r="E1446" s="7">
        <f>155+136+82+58+41+27+20</f>
        <v>519</v>
      </c>
      <c r="F1446" s="8">
        <v>1</v>
      </c>
      <c r="G1446" s="9" t="s">
        <v>1240</v>
      </c>
      <c r="H1446" s="7">
        <v>7</v>
      </c>
      <c r="I1446" s="7">
        <v>7</v>
      </c>
      <c r="J1446" s="9" t="s">
        <v>176</v>
      </c>
      <c r="K1446" s="7">
        <v>2</v>
      </c>
      <c r="L1446" s="7" t="s">
        <v>52</v>
      </c>
      <c r="M1446" s="7">
        <f t="shared" si="111"/>
        <v>1</v>
      </c>
      <c r="N1446" s="9" t="s">
        <v>177</v>
      </c>
      <c r="O1446" s="7">
        <v>0</v>
      </c>
      <c r="P1446" s="9" t="s">
        <v>63</v>
      </c>
      <c r="Q1446" s="7" t="s">
        <v>38</v>
      </c>
      <c r="R1446" s="7" t="s">
        <v>52</v>
      </c>
      <c r="S1446" s="10" t="s">
        <v>2209</v>
      </c>
      <c r="T1446" s="7" t="s">
        <v>1241</v>
      </c>
      <c r="U1446" s="7">
        <v>13</v>
      </c>
      <c r="V1446" s="7">
        <v>290</v>
      </c>
      <c r="W1446" s="7" t="s">
        <v>377</v>
      </c>
      <c r="X1446" s="7">
        <v>20</v>
      </c>
      <c r="Y1446" s="7">
        <v>45</v>
      </c>
      <c r="Z1446" s="7">
        <v>45</v>
      </c>
      <c r="AA1446" s="7">
        <v>200</v>
      </c>
      <c r="AB1446" s="7">
        <f t="shared" si="114"/>
        <v>26</v>
      </c>
      <c r="AC1446" s="7">
        <f t="shared" si="112"/>
        <v>26</v>
      </c>
      <c r="AD1446" s="7"/>
      <c r="AE1446" s="7"/>
      <c r="AF1446" s="7"/>
      <c r="AG1446" s="7"/>
      <c r="AH1446" s="7"/>
      <c r="AI1446" s="7"/>
      <c r="AJ1446" s="7"/>
      <c r="AK1446" s="7"/>
      <c r="AL1446" s="9" t="s">
        <v>38</v>
      </c>
      <c r="AM1446" s="7" t="s">
        <v>80</v>
      </c>
      <c r="AN1446" s="7" t="s">
        <v>2850</v>
      </c>
      <c r="AO1446" s="15" t="s">
        <v>2726</v>
      </c>
    </row>
    <row r="1447" spans="1:41" s="11" customFormat="1" ht="24" x14ac:dyDescent="0.25">
      <c r="A1447" s="2">
        <v>1446</v>
      </c>
      <c r="B1447" s="7" t="s">
        <v>31</v>
      </c>
      <c r="C1447" s="7" t="s">
        <v>78</v>
      </c>
      <c r="D1447" s="7">
        <v>18</v>
      </c>
      <c r="E1447" s="7">
        <v>18</v>
      </c>
      <c r="F1447" s="8">
        <v>1</v>
      </c>
      <c r="G1447" s="8">
        <v>1</v>
      </c>
      <c r="H1447" s="7">
        <v>1</v>
      </c>
      <c r="I1447" s="7">
        <v>1</v>
      </c>
      <c r="J1447" s="9" t="s">
        <v>176</v>
      </c>
      <c r="K1447" s="7">
        <v>10</v>
      </c>
      <c r="L1447" s="7" t="s">
        <v>52</v>
      </c>
      <c r="M1447" s="7">
        <f t="shared" si="111"/>
        <v>1</v>
      </c>
      <c r="N1447" s="9" t="s">
        <v>109</v>
      </c>
      <c r="O1447" s="7">
        <v>0</v>
      </c>
      <c r="P1447" s="9" t="s">
        <v>63</v>
      </c>
      <c r="Q1447" s="7" t="s">
        <v>38</v>
      </c>
      <c r="R1447" s="7" t="s">
        <v>38</v>
      </c>
      <c r="S1447" s="10" t="s">
        <v>2210</v>
      </c>
      <c r="T1447" s="7">
        <v>20</v>
      </c>
      <c r="U1447" s="7">
        <v>20</v>
      </c>
      <c r="V1447" s="7">
        <v>130</v>
      </c>
      <c r="W1447" s="7" t="s">
        <v>1242</v>
      </c>
      <c r="X1447" s="7"/>
      <c r="Y1447" s="7"/>
      <c r="Z1447" s="7"/>
      <c r="AA1447" s="7"/>
      <c r="AB1447" s="7">
        <f t="shared" si="114"/>
        <v>6.666666666666667</v>
      </c>
      <c r="AC1447" s="7">
        <f t="shared" si="112"/>
        <v>6.666666666666667</v>
      </c>
      <c r="AD1447" s="7"/>
      <c r="AE1447" s="7"/>
      <c r="AF1447" s="7"/>
      <c r="AG1447" s="7"/>
      <c r="AH1447" s="7"/>
      <c r="AI1447" s="7"/>
      <c r="AJ1447" s="7"/>
      <c r="AK1447" s="7"/>
      <c r="AL1447" s="9"/>
      <c r="AM1447" s="7" t="s">
        <v>137</v>
      </c>
      <c r="AN1447" s="7" t="s">
        <v>2848</v>
      </c>
      <c r="AO1447" s="15"/>
    </row>
    <row r="1448" spans="1:41" s="11" customFormat="1" x14ac:dyDescent="0.25">
      <c r="A1448" s="2">
        <v>1447</v>
      </c>
      <c r="B1448" s="7" t="s">
        <v>579</v>
      </c>
      <c r="C1448" s="7" t="s">
        <v>89</v>
      </c>
      <c r="D1448" s="7" t="s">
        <v>504</v>
      </c>
      <c r="E1448" s="7">
        <v>16</v>
      </c>
      <c r="F1448" s="8">
        <v>1</v>
      </c>
      <c r="G1448" s="9" t="s">
        <v>196</v>
      </c>
      <c r="H1448" s="7" t="s">
        <v>87</v>
      </c>
      <c r="I1448" s="7">
        <v>2</v>
      </c>
      <c r="J1448" s="9" t="s">
        <v>176</v>
      </c>
      <c r="K1448" s="7">
        <v>10</v>
      </c>
      <c r="L1448" s="7" t="s">
        <v>52</v>
      </c>
      <c r="M1448" s="7">
        <f t="shared" si="111"/>
        <v>1</v>
      </c>
      <c r="N1448" s="9"/>
      <c r="O1448" s="7"/>
      <c r="P1448" s="9"/>
      <c r="Q1448" s="7"/>
      <c r="R1448" s="7"/>
      <c r="S1448" s="10" t="s">
        <v>2211</v>
      </c>
      <c r="T1448" s="7"/>
      <c r="U1448" s="7"/>
      <c r="V1448" s="7"/>
      <c r="W1448" s="7"/>
      <c r="X1448" s="7">
        <v>3</v>
      </c>
      <c r="Y1448" s="7"/>
      <c r="Z1448" s="7"/>
      <c r="AA1448" s="7"/>
      <c r="AB1448" s="7">
        <f t="shared" si="114"/>
        <v>1</v>
      </c>
      <c r="AC1448" s="7">
        <f t="shared" si="112"/>
        <v>1</v>
      </c>
      <c r="AD1448" s="7"/>
      <c r="AE1448" s="7"/>
      <c r="AF1448" s="7"/>
      <c r="AG1448" s="7"/>
      <c r="AH1448" s="7"/>
      <c r="AI1448" s="7"/>
      <c r="AJ1448" s="7"/>
      <c r="AK1448" s="7"/>
      <c r="AL1448" s="9"/>
      <c r="AM1448" s="7" t="s">
        <v>71</v>
      </c>
      <c r="AN1448" s="7" t="s">
        <v>71</v>
      </c>
      <c r="AO1448" s="12"/>
    </row>
    <row r="1449" spans="1:41" s="11" customFormat="1" ht="24" x14ac:dyDescent="0.25">
      <c r="A1449" s="2">
        <v>1448</v>
      </c>
      <c r="B1449" s="7" t="s">
        <v>1243</v>
      </c>
      <c r="C1449" s="7" t="s">
        <v>421</v>
      </c>
      <c r="D1449" s="7" t="s">
        <v>1244</v>
      </c>
      <c r="E1449" s="7">
        <f>67+56+28+24</f>
        <v>175</v>
      </c>
      <c r="F1449" s="8">
        <v>1</v>
      </c>
      <c r="G1449" s="9" t="s">
        <v>461</v>
      </c>
      <c r="H1449" s="7">
        <v>5</v>
      </c>
      <c r="I1449" s="7">
        <v>5</v>
      </c>
      <c r="J1449" s="9" t="s">
        <v>176</v>
      </c>
      <c r="K1449" s="7">
        <v>10</v>
      </c>
      <c r="L1449" s="7" t="s">
        <v>52</v>
      </c>
      <c r="M1449" s="7">
        <f t="shared" si="111"/>
        <v>1</v>
      </c>
      <c r="N1449" s="9" t="s">
        <v>177</v>
      </c>
      <c r="O1449" s="7">
        <v>0</v>
      </c>
      <c r="P1449" s="9" t="s">
        <v>63</v>
      </c>
      <c r="Q1449" s="7" t="s">
        <v>38</v>
      </c>
      <c r="R1449" s="7" t="s">
        <v>52</v>
      </c>
      <c r="S1449" s="10" t="s">
        <v>2212</v>
      </c>
      <c r="T1449" s="7">
        <v>11</v>
      </c>
      <c r="U1449" s="7">
        <v>11</v>
      </c>
      <c r="V1449" s="7" t="s">
        <v>1110</v>
      </c>
      <c r="W1449" s="7" t="s">
        <v>79</v>
      </c>
      <c r="X1449" s="7">
        <v>15</v>
      </c>
      <c r="Y1449" s="7">
        <v>15</v>
      </c>
      <c r="Z1449" s="7">
        <v>15</v>
      </c>
      <c r="AA1449" s="7">
        <v>160</v>
      </c>
      <c r="AB1449" s="7">
        <f t="shared" si="114"/>
        <v>13.666666666666666</v>
      </c>
      <c r="AC1449" s="7">
        <f t="shared" si="112"/>
        <v>13.666666666666666</v>
      </c>
      <c r="AD1449" s="7"/>
      <c r="AE1449" s="7">
        <v>1</v>
      </c>
      <c r="AF1449" s="7" t="s">
        <v>40</v>
      </c>
      <c r="AG1449" s="7" t="s">
        <v>1245</v>
      </c>
      <c r="AH1449" s="7"/>
      <c r="AI1449" s="10" t="s">
        <v>2324</v>
      </c>
      <c r="AJ1449" s="7"/>
      <c r="AK1449" s="7"/>
      <c r="AL1449" s="9" t="s">
        <v>38</v>
      </c>
      <c r="AM1449" s="7" t="s">
        <v>1246</v>
      </c>
      <c r="AN1449" s="7" t="s">
        <v>2850</v>
      </c>
      <c r="AO1449" s="15" t="s">
        <v>2727</v>
      </c>
    </row>
    <row r="1450" spans="1:41" s="11" customFormat="1" ht="24" x14ac:dyDescent="0.25">
      <c r="A1450" s="2">
        <v>1449</v>
      </c>
      <c r="B1450" s="7" t="s">
        <v>1243</v>
      </c>
      <c r="C1450" s="7" t="s">
        <v>50</v>
      </c>
      <c r="D1450" s="7" t="s">
        <v>1247</v>
      </c>
      <c r="E1450" s="7">
        <v>137</v>
      </c>
      <c r="F1450" s="8">
        <v>1</v>
      </c>
      <c r="G1450" s="9" t="s">
        <v>95</v>
      </c>
      <c r="H1450" s="7">
        <v>3</v>
      </c>
      <c r="I1450" s="7">
        <v>3</v>
      </c>
      <c r="J1450" s="9" t="s">
        <v>176</v>
      </c>
      <c r="K1450" s="7">
        <v>2</v>
      </c>
      <c r="L1450" s="7" t="s">
        <v>52</v>
      </c>
      <c r="M1450" s="7">
        <f t="shared" si="111"/>
        <v>1</v>
      </c>
      <c r="N1450" s="9" t="s">
        <v>109</v>
      </c>
      <c r="O1450" s="7">
        <v>0</v>
      </c>
      <c r="P1450" s="9" t="s">
        <v>63</v>
      </c>
      <c r="Q1450" s="7" t="s">
        <v>38</v>
      </c>
      <c r="R1450" s="7" t="s">
        <v>38</v>
      </c>
      <c r="S1450" s="10" t="s">
        <v>2213</v>
      </c>
      <c r="T1450" s="7"/>
      <c r="U1450" s="7"/>
      <c r="V1450" s="7"/>
      <c r="W1450" s="7"/>
      <c r="X1450" s="7"/>
      <c r="Y1450" s="7" t="s">
        <v>1248</v>
      </c>
      <c r="Z1450" s="7">
        <v>42</v>
      </c>
      <c r="AA1450" s="7">
        <v>160</v>
      </c>
      <c r="AB1450" s="7">
        <f t="shared" si="114"/>
        <v>14</v>
      </c>
      <c r="AC1450" s="7">
        <f t="shared" si="112"/>
        <v>14</v>
      </c>
      <c r="AD1450" s="7"/>
      <c r="AE1450" s="7"/>
      <c r="AF1450" s="7"/>
      <c r="AG1450" s="7"/>
      <c r="AH1450" s="7"/>
      <c r="AI1450" s="7"/>
      <c r="AJ1450" s="7"/>
      <c r="AK1450" s="7"/>
      <c r="AL1450" s="9"/>
      <c r="AM1450" s="7" t="s">
        <v>71</v>
      </c>
      <c r="AN1450" s="7" t="s">
        <v>71</v>
      </c>
      <c r="AO1450" s="12"/>
    </row>
    <row r="1451" spans="1:41" s="11" customFormat="1" ht="36" x14ac:dyDescent="0.25">
      <c r="A1451" s="2">
        <v>1450</v>
      </c>
      <c r="B1451" s="7" t="s">
        <v>1235</v>
      </c>
      <c r="C1451" s="7" t="s">
        <v>1249</v>
      </c>
      <c r="D1451" s="7"/>
      <c r="E1451" s="7">
        <v>257</v>
      </c>
      <c r="F1451" s="8">
        <v>1</v>
      </c>
      <c r="G1451" s="9" t="s">
        <v>1250</v>
      </c>
      <c r="H1451" s="7" t="s">
        <v>1251</v>
      </c>
      <c r="I1451" s="7">
        <v>26</v>
      </c>
      <c r="J1451" s="9" t="s">
        <v>176</v>
      </c>
      <c r="K1451" s="7">
        <v>6</v>
      </c>
      <c r="L1451" s="7" t="s">
        <v>52</v>
      </c>
      <c r="M1451" s="7">
        <f t="shared" si="111"/>
        <v>1</v>
      </c>
      <c r="N1451" s="9" t="s">
        <v>177</v>
      </c>
      <c r="O1451" s="7">
        <v>0</v>
      </c>
      <c r="P1451" s="9" t="s">
        <v>63</v>
      </c>
      <c r="Q1451" s="7" t="s">
        <v>38</v>
      </c>
      <c r="R1451" s="7" t="s">
        <v>52</v>
      </c>
      <c r="S1451" s="10" t="s">
        <v>2214</v>
      </c>
      <c r="T1451" s="7" t="s">
        <v>1252</v>
      </c>
      <c r="U1451" s="7">
        <v>38</v>
      </c>
      <c r="V1451" s="7">
        <v>190</v>
      </c>
      <c r="W1451" s="7" t="s">
        <v>1253</v>
      </c>
      <c r="X1451" s="7">
        <v>5</v>
      </c>
      <c r="Y1451" s="7" t="s">
        <v>1254</v>
      </c>
      <c r="Z1451" s="7">
        <v>12</v>
      </c>
      <c r="AA1451" s="7" t="s">
        <v>267</v>
      </c>
      <c r="AB1451" s="7">
        <f t="shared" si="114"/>
        <v>18.333333333333332</v>
      </c>
      <c r="AC1451" s="7">
        <f t="shared" si="112"/>
        <v>18.333333333333332</v>
      </c>
      <c r="AD1451" s="7">
        <v>1</v>
      </c>
      <c r="AE1451" s="7"/>
      <c r="AF1451" s="7" t="s">
        <v>1255</v>
      </c>
      <c r="AG1451" s="7" t="s">
        <v>1256</v>
      </c>
      <c r="AH1451" s="7"/>
      <c r="AI1451" s="7"/>
      <c r="AJ1451" s="7"/>
      <c r="AK1451" s="7"/>
      <c r="AL1451" s="9" t="s">
        <v>38</v>
      </c>
      <c r="AM1451" s="7" t="s">
        <v>1257</v>
      </c>
      <c r="AN1451" s="7" t="s">
        <v>2845</v>
      </c>
      <c r="AO1451" s="15" t="s">
        <v>2728</v>
      </c>
    </row>
    <row r="1452" spans="1:41" s="11" customFormat="1" ht="24" x14ac:dyDescent="0.25">
      <c r="A1452" s="2">
        <v>1451</v>
      </c>
      <c r="B1452" s="7" t="s">
        <v>1258</v>
      </c>
      <c r="C1452" s="7" t="s">
        <v>174</v>
      </c>
      <c r="D1452" s="7" t="s">
        <v>1259</v>
      </c>
      <c r="E1452" s="7">
        <f>43+24+16+12+9</f>
        <v>104</v>
      </c>
      <c r="F1452" s="8">
        <v>1</v>
      </c>
      <c r="G1452" s="9" t="s">
        <v>781</v>
      </c>
      <c r="H1452" s="7" t="s">
        <v>320</v>
      </c>
      <c r="I1452" s="7">
        <v>8</v>
      </c>
      <c r="J1452" s="9" t="s">
        <v>176</v>
      </c>
      <c r="K1452" s="7">
        <v>5</v>
      </c>
      <c r="L1452" s="7" t="s">
        <v>52</v>
      </c>
      <c r="M1452" s="7">
        <f t="shared" si="111"/>
        <v>1</v>
      </c>
      <c r="N1452" s="9" t="s">
        <v>177</v>
      </c>
      <c r="O1452" s="7">
        <v>0</v>
      </c>
      <c r="P1452" s="9" t="s">
        <v>63</v>
      </c>
      <c r="Q1452" s="7" t="s">
        <v>38</v>
      </c>
      <c r="R1452" s="7" t="s">
        <v>52</v>
      </c>
      <c r="S1452" s="10" t="s">
        <v>2215</v>
      </c>
      <c r="T1452" s="7" t="s">
        <v>1260</v>
      </c>
      <c r="U1452" s="7">
        <v>27</v>
      </c>
      <c r="V1452" s="7">
        <v>210</v>
      </c>
      <c r="W1452" s="7" t="s">
        <v>1261</v>
      </c>
      <c r="X1452" s="7">
        <v>3</v>
      </c>
      <c r="Y1452" s="7"/>
      <c r="Z1452" s="7"/>
      <c r="AA1452" s="7"/>
      <c r="AB1452" s="7">
        <f t="shared" si="114"/>
        <v>10</v>
      </c>
      <c r="AC1452" s="7">
        <f t="shared" si="112"/>
        <v>10</v>
      </c>
      <c r="AD1452" s="7"/>
      <c r="AE1452" s="7"/>
      <c r="AF1452" s="7"/>
      <c r="AG1452" s="7"/>
      <c r="AH1452" s="7"/>
      <c r="AI1452" s="10" t="s">
        <v>2325</v>
      </c>
      <c r="AJ1452" s="10" t="s">
        <v>778</v>
      </c>
      <c r="AK1452" s="7"/>
      <c r="AL1452" s="9"/>
      <c r="AM1452" s="7" t="s">
        <v>80</v>
      </c>
      <c r="AN1452" s="7" t="s">
        <v>2850</v>
      </c>
      <c r="AO1452" s="12"/>
    </row>
    <row r="1453" spans="1:41" s="11" customFormat="1" x14ac:dyDescent="0.25">
      <c r="A1453" s="2">
        <v>1452</v>
      </c>
      <c r="B1453" s="7" t="s">
        <v>471</v>
      </c>
      <c r="C1453" s="7" t="s">
        <v>100</v>
      </c>
      <c r="D1453" s="7">
        <v>13</v>
      </c>
      <c r="E1453" s="7">
        <v>13</v>
      </c>
      <c r="F1453" s="8">
        <v>1</v>
      </c>
      <c r="G1453" s="8">
        <v>1</v>
      </c>
      <c r="H1453" s="7">
        <v>1</v>
      </c>
      <c r="I1453" s="7">
        <v>1</v>
      </c>
      <c r="J1453" s="9" t="s">
        <v>176</v>
      </c>
      <c r="K1453" s="7">
        <v>5</v>
      </c>
      <c r="L1453" s="7" t="s">
        <v>52</v>
      </c>
      <c r="M1453" s="7">
        <f t="shared" si="111"/>
        <v>1</v>
      </c>
      <c r="N1453" s="9"/>
      <c r="O1453" s="7"/>
      <c r="P1453" s="9"/>
      <c r="Q1453" s="7"/>
      <c r="R1453" s="7"/>
      <c r="S1453" s="7"/>
      <c r="T1453" s="7"/>
      <c r="U1453" s="7"/>
      <c r="V1453" s="7"/>
      <c r="W1453" s="7"/>
      <c r="X1453" s="7">
        <v>3</v>
      </c>
      <c r="Y1453" s="7"/>
      <c r="Z1453" s="7"/>
      <c r="AA1453" s="7"/>
      <c r="AB1453" s="7">
        <f t="shared" si="114"/>
        <v>1</v>
      </c>
      <c r="AC1453" s="7">
        <f t="shared" si="112"/>
        <v>1</v>
      </c>
      <c r="AD1453" s="7"/>
      <c r="AE1453" s="7"/>
      <c r="AF1453" s="7"/>
      <c r="AG1453" s="7"/>
      <c r="AH1453" s="7"/>
      <c r="AI1453" s="7"/>
      <c r="AJ1453" s="7"/>
      <c r="AK1453" s="7"/>
      <c r="AL1453" s="9"/>
      <c r="AM1453" s="7" t="s">
        <v>71</v>
      </c>
      <c r="AN1453" s="7" t="s">
        <v>71</v>
      </c>
      <c r="AO1453" s="12"/>
    </row>
    <row r="1454" spans="1:41" s="11" customFormat="1" ht="24" x14ac:dyDescent="0.25">
      <c r="A1454" s="2">
        <v>1453</v>
      </c>
      <c r="B1454" s="7" t="s">
        <v>913</v>
      </c>
      <c r="C1454" s="7" t="s">
        <v>823</v>
      </c>
      <c r="D1454" s="7" t="s">
        <v>1262</v>
      </c>
      <c r="E1454" s="7">
        <v>43</v>
      </c>
      <c r="F1454" s="8">
        <v>1</v>
      </c>
      <c r="G1454" s="8">
        <v>2</v>
      </c>
      <c r="H1454" s="7">
        <v>2</v>
      </c>
      <c r="I1454" s="7">
        <v>2</v>
      </c>
      <c r="J1454" s="9" t="s">
        <v>176</v>
      </c>
      <c r="K1454" s="7" t="s">
        <v>268</v>
      </c>
      <c r="L1454" s="7" t="s">
        <v>52</v>
      </c>
      <c r="M1454" s="7">
        <f t="shared" si="111"/>
        <v>1</v>
      </c>
      <c r="N1454" s="9" t="s">
        <v>177</v>
      </c>
      <c r="O1454" s="7">
        <v>0</v>
      </c>
      <c r="P1454" s="9" t="s">
        <v>63</v>
      </c>
      <c r="Q1454" s="7" t="s">
        <v>38</v>
      </c>
      <c r="R1454" s="7" t="s">
        <v>52</v>
      </c>
      <c r="S1454" s="10" t="s">
        <v>2216</v>
      </c>
      <c r="T1454" s="7"/>
      <c r="U1454" s="7"/>
      <c r="V1454" s="7"/>
      <c r="W1454" s="7"/>
      <c r="X1454" s="7">
        <v>3</v>
      </c>
      <c r="Y1454" s="7">
        <v>10</v>
      </c>
      <c r="Z1454" s="7">
        <v>10</v>
      </c>
      <c r="AA1454" s="7">
        <v>170</v>
      </c>
      <c r="AB1454" s="7">
        <f t="shared" si="114"/>
        <v>4.333333333333333</v>
      </c>
      <c r="AC1454" s="7">
        <f t="shared" si="112"/>
        <v>4.333333333333333</v>
      </c>
      <c r="AD1454" s="7"/>
      <c r="AE1454" s="7"/>
      <c r="AF1454" s="7"/>
      <c r="AG1454" s="7"/>
      <c r="AH1454" s="7"/>
      <c r="AI1454" s="7"/>
      <c r="AJ1454" s="7"/>
      <c r="AK1454" s="7"/>
      <c r="AL1454" s="9"/>
      <c r="AM1454" s="7" t="s">
        <v>215</v>
      </c>
      <c r="AN1454" s="7" t="s">
        <v>2850</v>
      </c>
      <c r="AO1454" s="12"/>
    </row>
    <row r="1455" spans="1:41" s="11" customFormat="1" ht="24" x14ac:dyDescent="0.25">
      <c r="A1455" s="2">
        <v>1454</v>
      </c>
      <c r="B1455" s="7" t="s">
        <v>292</v>
      </c>
      <c r="C1455" s="7" t="s">
        <v>78</v>
      </c>
      <c r="D1455" s="7">
        <v>19</v>
      </c>
      <c r="E1455" s="7">
        <v>19</v>
      </c>
      <c r="F1455" s="8">
        <v>1</v>
      </c>
      <c r="G1455" s="8">
        <v>1</v>
      </c>
      <c r="H1455" s="7">
        <v>1</v>
      </c>
      <c r="I1455" s="7">
        <v>1</v>
      </c>
      <c r="J1455" s="9" t="s">
        <v>176</v>
      </c>
      <c r="K1455" s="7">
        <v>10</v>
      </c>
      <c r="L1455" s="7" t="s">
        <v>52</v>
      </c>
      <c r="M1455" s="7">
        <f t="shared" si="111"/>
        <v>1</v>
      </c>
      <c r="N1455" s="9" t="s">
        <v>177</v>
      </c>
      <c r="O1455" s="7">
        <v>0</v>
      </c>
      <c r="P1455" s="9" t="s">
        <v>63</v>
      </c>
      <c r="Q1455" s="7" t="s">
        <v>38</v>
      </c>
      <c r="R1455" s="7" t="s">
        <v>52</v>
      </c>
      <c r="S1455" s="10" t="s">
        <v>2217</v>
      </c>
      <c r="T1455" s="7">
        <v>6</v>
      </c>
      <c r="U1455" s="7">
        <v>6</v>
      </c>
      <c r="V1455" s="7">
        <v>220</v>
      </c>
      <c r="W1455" s="7" t="s">
        <v>1263</v>
      </c>
      <c r="X1455" s="7"/>
      <c r="Y1455" s="7"/>
      <c r="Z1455" s="7"/>
      <c r="AA1455" s="7"/>
      <c r="AB1455" s="7">
        <f t="shared" si="114"/>
        <v>2</v>
      </c>
      <c r="AC1455" s="7">
        <f t="shared" si="112"/>
        <v>2</v>
      </c>
      <c r="AD1455" s="7"/>
      <c r="AE1455" s="7"/>
      <c r="AF1455" s="7"/>
      <c r="AG1455" s="7"/>
      <c r="AH1455" s="7"/>
      <c r="AI1455" s="10" t="s">
        <v>2326</v>
      </c>
      <c r="AJ1455" s="7"/>
      <c r="AK1455" s="7"/>
      <c r="AL1455" s="9"/>
      <c r="AM1455" s="7" t="s">
        <v>71</v>
      </c>
      <c r="AN1455" s="7" t="s">
        <v>71</v>
      </c>
      <c r="AO1455" s="12"/>
    </row>
    <row r="1456" spans="1:41" s="11" customFormat="1" x14ac:dyDescent="0.25">
      <c r="A1456" s="2">
        <v>1455</v>
      </c>
      <c r="B1456" s="7" t="s">
        <v>240</v>
      </c>
      <c r="C1456" s="7" t="s">
        <v>50</v>
      </c>
      <c r="D1456" s="7">
        <v>31</v>
      </c>
      <c r="E1456" s="7">
        <v>31</v>
      </c>
      <c r="F1456" s="8">
        <v>1</v>
      </c>
      <c r="G1456" s="8">
        <v>1</v>
      </c>
      <c r="H1456" s="7">
        <v>1</v>
      </c>
      <c r="I1456" s="7">
        <v>1</v>
      </c>
      <c r="J1456" s="9" t="s">
        <v>176</v>
      </c>
      <c r="K1456" s="7">
        <v>2</v>
      </c>
      <c r="L1456" s="7" t="s">
        <v>52</v>
      </c>
      <c r="M1456" s="7">
        <f t="shared" si="111"/>
        <v>1</v>
      </c>
      <c r="N1456" s="9" t="s">
        <v>177</v>
      </c>
      <c r="O1456" s="7">
        <v>0</v>
      </c>
      <c r="P1456" s="9" t="s">
        <v>63</v>
      </c>
      <c r="Q1456" s="7" t="s">
        <v>38</v>
      </c>
      <c r="R1456" s="7" t="s">
        <v>52</v>
      </c>
      <c r="S1456" s="10" t="s">
        <v>2218</v>
      </c>
      <c r="T1456" s="7"/>
      <c r="U1456" s="7"/>
      <c r="V1456" s="7"/>
      <c r="W1456" s="7"/>
      <c r="X1456" s="7"/>
      <c r="Y1456" s="7">
        <v>5</v>
      </c>
      <c r="Z1456" s="7">
        <v>5</v>
      </c>
      <c r="AA1456" s="7" t="s">
        <v>76</v>
      </c>
      <c r="AB1456" s="7">
        <f t="shared" si="114"/>
        <v>1.6666666666666667</v>
      </c>
      <c r="AC1456" s="7">
        <f t="shared" si="112"/>
        <v>1.6666666666666667</v>
      </c>
      <c r="AD1456" s="7"/>
      <c r="AE1456" s="7"/>
      <c r="AF1456" s="7"/>
      <c r="AG1456" s="7"/>
      <c r="AH1456" s="7"/>
      <c r="AI1456" s="7"/>
      <c r="AJ1456" s="7"/>
      <c r="AK1456" s="7"/>
      <c r="AL1456" s="9"/>
      <c r="AM1456" s="7" t="s">
        <v>71</v>
      </c>
      <c r="AN1456" s="7" t="s">
        <v>71</v>
      </c>
      <c r="AO1456" s="12"/>
    </row>
    <row r="1457" spans="1:41" s="11" customFormat="1" ht="24" x14ac:dyDescent="0.25">
      <c r="A1457" s="2">
        <v>1456</v>
      </c>
      <c r="B1457" s="7" t="s">
        <v>832</v>
      </c>
      <c r="C1457" s="7" t="s">
        <v>78</v>
      </c>
      <c r="D1457" s="7">
        <v>16</v>
      </c>
      <c r="E1457" s="7">
        <v>16</v>
      </c>
      <c r="F1457" s="8">
        <v>1</v>
      </c>
      <c r="G1457" s="8">
        <v>1</v>
      </c>
      <c r="H1457" s="7">
        <v>1</v>
      </c>
      <c r="I1457" s="7">
        <v>1</v>
      </c>
      <c r="J1457" s="9" t="s">
        <v>176</v>
      </c>
      <c r="K1457" s="7">
        <v>3</v>
      </c>
      <c r="L1457" s="7" t="s">
        <v>52</v>
      </c>
      <c r="M1457" s="7">
        <f t="shared" si="111"/>
        <v>1</v>
      </c>
      <c r="N1457" s="9" t="s">
        <v>177</v>
      </c>
      <c r="O1457" s="7">
        <v>0</v>
      </c>
      <c r="P1457" s="9" t="s">
        <v>63</v>
      </c>
      <c r="Q1457" s="7" t="s">
        <v>38</v>
      </c>
      <c r="R1457" s="7" t="s">
        <v>52</v>
      </c>
      <c r="S1457" s="10" t="s">
        <v>2219</v>
      </c>
      <c r="T1457" s="7">
        <v>9</v>
      </c>
      <c r="U1457" s="7">
        <v>9</v>
      </c>
      <c r="V1457" s="7">
        <v>220</v>
      </c>
      <c r="W1457" s="7" t="s">
        <v>1264</v>
      </c>
      <c r="X1457" s="7"/>
      <c r="Y1457" s="7"/>
      <c r="Z1457" s="7"/>
      <c r="AA1457" s="7"/>
      <c r="AB1457" s="7">
        <f t="shared" si="114"/>
        <v>3</v>
      </c>
      <c r="AC1457" s="7">
        <f t="shared" si="112"/>
        <v>3</v>
      </c>
      <c r="AD1457" s="7"/>
      <c r="AE1457" s="7"/>
      <c r="AF1457" s="7"/>
      <c r="AG1457" s="7"/>
      <c r="AH1457" s="7"/>
      <c r="AI1457" s="7"/>
      <c r="AJ1457" s="7"/>
      <c r="AK1457" s="7"/>
      <c r="AL1457" s="9"/>
      <c r="AM1457" s="7" t="s">
        <v>215</v>
      </c>
      <c r="AN1457" s="7" t="s">
        <v>2850</v>
      </c>
      <c r="AO1457" s="12"/>
    </row>
    <row r="1458" spans="1:41" s="11" customFormat="1" x14ac:dyDescent="0.25">
      <c r="A1458" s="2">
        <v>1457</v>
      </c>
      <c r="B1458" s="7" t="s">
        <v>832</v>
      </c>
      <c r="C1458" s="7" t="s">
        <v>100</v>
      </c>
      <c r="D1458" s="7">
        <v>9</v>
      </c>
      <c r="E1458" s="7">
        <v>9</v>
      </c>
      <c r="F1458" s="8">
        <v>1</v>
      </c>
      <c r="G1458" s="8">
        <v>1</v>
      </c>
      <c r="H1458" s="7">
        <v>1</v>
      </c>
      <c r="I1458" s="7">
        <v>1</v>
      </c>
      <c r="J1458" s="9" t="s">
        <v>176</v>
      </c>
      <c r="K1458" s="7" t="s">
        <v>268</v>
      </c>
      <c r="L1458" s="7" t="s">
        <v>52</v>
      </c>
      <c r="M1458" s="7">
        <f t="shared" si="111"/>
        <v>1</v>
      </c>
      <c r="N1458" s="9"/>
      <c r="O1458" s="7"/>
      <c r="P1458" s="9"/>
      <c r="Q1458" s="7"/>
      <c r="R1458" s="7"/>
      <c r="S1458" s="7"/>
      <c r="T1458" s="7"/>
      <c r="U1458" s="7"/>
      <c r="V1458" s="7"/>
      <c r="W1458" s="7"/>
      <c r="X1458" s="7">
        <v>3</v>
      </c>
      <c r="Y1458" s="7"/>
      <c r="Z1458" s="7"/>
      <c r="AA1458" s="7"/>
      <c r="AB1458" s="7">
        <f t="shared" si="114"/>
        <v>1</v>
      </c>
      <c r="AC1458" s="7">
        <f t="shared" si="112"/>
        <v>1</v>
      </c>
      <c r="AD1458" s="7"/>
      <c r="AE1458" s="7"/>
      <c r="AF1458" s="7"/>
      <c r="AG1458" s="7"/>
      <c r="AH1458" s="7"/>
      <c r="AI1458" s="7"/>
      <c r="AJ1458" s="7"/>
      <c r="AK1458" s="17"/>
      <c r="AL1458" s="9"/>
      <c r="AM1458" s="7" t="s">
        <v>71</v>
      </c>
      <c r="AN1458" s="7" t="s">
        <v>71</v>
      </c>
      <c r="AO1458" s="12"/>
    </row>
    <row r="1459" spans="1:41" s="11" customFormat="1" x14ac:dyDescent="0.25">
      <c r="A1459" s="2">
        <v>1458</v>
      </c>
      <c r="B1459" s="7" t="s">
        <v>1137</v>
      </c>
      <c r="C1459" s="7" t="s">
        <v>100</v>
      </c>
      <c r="D1459" s="7">
        <v>8</v>
      </c>
      <c r="E1459" s="7">
        <v>8</v>
      </c>
      <c r="F1459" s="8">
        <v>1</v>
      </c>
      <c r="G1459" s="8">
        <v>1</v>
      </c>
      <c r="H1459" s="7">
        <v>1</v>
      </c>
      <c r="I1459" s="7">
        <v>1</v>
      </c>
      <c r="J1459" s="9" t="s">
        <v>176</v>
      </c>
      <c r="K1459" s="9" t="s">
        <v>268</v>
      </c>
      <c r="L1459" s="7" t="s">
        <v>52</v>
      </c>
      <c r="M1459" s="7">
        <f t="shared" si="111"/>
        <v>1</v>
      </c>
      <c r="N1459" s="9"/>
      <c r="O1459" s="7"/>
      <c r="P1459" s="9"/>
      <c r="Q1459" s="7"/>
      <c r="R1459" s="7"/>
      <c r="S1459" s="7"/>
      <c r="T1459" s="7"/>
      <c r="U1459" s="7"/>
      <c r="V1459" s="7"/>
      <c r="W1459" s="7"/>
      <c r="X1459" s="7">
        <v>3</v>
      </c>
      <c r="Y1459" s="7"/>
      <c r="Z1459" s="7"/>
      <c r="AA1459" s="7"/>
      <c r="AB1459" s="7">
        <f t="shared" si="114"/>
        <v>1</v>
      </c>
      <c r="AC1459" s="7">
        <f t="shared" si="112"/>
        <v>1</v>
      </c>
      <c r="AD1459" s="7"/>
      <c r="AE1459" s="7"/>
      <c r="AF1459" s="7"/>
      <c r="AG1459" s="7"/>
      <c r="AH1459" s="7"/>
      <c r="AI1459" s="7"/>
      <c r="AJ1459" s="7"/>
      <c r="AK1459" s="7"/>
      <c r="AL1459" s="9"/>
      <c r="AM1459" s="7" t="s">
        <v>71</v>
      </c>
      <c r="AN1459" s="7" t="s">
        <v>71</v>
      </c>
      <c r="AO1459" s="12"/>
    </row>
    <row r="1460" spans="1:41" s="11" customFormat="1" ht="24" x14ac:dyDescent="0.25">
      <c r="A1460" s="2">
        <v>1459</v>
      </c>
      <c r="B1460" s="7" t="s">
        <v>296</v>
      </c>
      <c r="C1460" s="7" t="s">
        <v>78</v>
      </c>
      <c r="D1460" s="7">
        <v>10</v>
      </c>
      <c r="E1460" s="7">
        <v>10</v>
      </c>
      <c r="F1460" s="8">
        <v>1</v>
      </c>
      <c r="G1460" s="8">
        <v>1</v>
      </c>
      <c r="H1460" s="7">
        <v>1</v>
      </c>
      <c r="I1460" s="7">
        <v>1</v>
      </c>
      <c r="J1460" s="9" t="s">
        <v>176</v>
      </c>
      <c r="K1460" s="9" t="s">
        <v>268</v>
      </c>
      <c r="L1460" s="7" t="s">
        <v>52</v>
      </c>
      <c r="M1460" s="7">
        <f t="shared" si="111"/>
        <v>1</v>
      </c>
      <c r="N1460" s="9" t="s">
        <v>177</v>
      </c>
      <c r="O1460" s="7">
        <v>0</v>
      </c>
      <c r="P1460" s="9" t="s">
        <v>63</v>
      </c>
      <c r="Q1460" s="9" t="s">
        <v>38</v>
      </c>
      <c r="R1460" s="9" t="s">
        <v>52</v>
      </c>
      <c r="S1460" s="13" t="s">
        <v>2220</v>
      </c>
      <c r="T1460" s="7">
        <v>8</v>
      </c>
      <c r="U1460" s="7">
        <v>8</v>
      </c>
      <c r="V1460" s="7">
        <v>140</v>
      </c>
      <c r="W1460" s="7" t="s">
        <v>1265</v>
      </c>
      <c r="X1460" s="7"/>
      <c r="Y1460" s="7"/>
      <c r="Z1460" s="7"/>
      <c r="AA1460" s="7"/>
      <c r="AB1460" s="7">
        <f t="shared" si="114"/>
        <v>2.6666666666666665</v>
      </c>
      <c r="AC1460" s="7">
        <f t="shared" si="112"/>
        <v>2.6666666666666665</v>
      </c>
      <c r="AD1460" s="7"/>
      <c r="AE1460" s="7"/>
      <c r="AF1460" s="7"/>
      <c r="AG1460" s="7"/>
      <c r="AH1460" s="7"/>
      <c r="AI1460" s="7"/>
      <c r="AJ1460" s="7"/>
      <c r="AK1460" s="7"/>
      <c r="AL1460" s="9"/>
      <c r="AM1460" s="7" t="s">
        <v>215</v>
      </c>
      <c r="AN1460" s="7" t="s">
        <v>2850</v>
      </c>
      <c r="AO1460" s="12"/>
    </row>
    <row r="1461" spans="1:41" s="11" customFormat="1" ht="24" x14ac:dyDescent="0.25">
      <c r="A1461" s="2">
        <v>1460</v>
      </c>
      <c r="B1461" s="7" t="s">
        <v>1137</v>
      </c>
      <c r="C1461" s="7" t="s">
        <v>78</v>
      </c>
      <c r="D1461" s="7">
        <v>8</v>
      </c>
      <c r="E1461" s="7">
        <v>8</v>
      </c>
      <c r="F1461" s="8">
        <v>1</v>
      </c>
      <c r="G1461" s="8">
        <v>1</v>
      </c>
      <c r="H1461" s="7">
        <v>1</v>
      </c>
      <c r="I1461" s="7">
        <v>1</v>
      </c>
      <c r="J1461" s="9" t="s">
        <v>176</v>
      </c>
      <c r="K1461" s="9" t="s">
        <v>268</v>
      </c>
      <c r="L1461" s="7" t="s">
        <v>52</v>
      </c>
      <c r="M1461" s="7">
        <f t="shared" si="111"/>
        <v>1</v>
      </c>
      <c r="N1461" s="9" t="s">
        <v>177</v>
      </c>
      <c r="O1461" s="7">
        <v>0</v>
      </c>
      <c r="P1461" s="9" t="s">
        <v>63</v>
      </c>
      <c r="Q1461" s="9" t="s">
        <v>38</v>
      </c>
      <c r="R1461" s="9" t="s">
        <v>52</v>
      </c>
      <c r="S1461" s="13" t="s">
        <v>2221</v>
      </c>
      <c r="T1461" s="7">
        <v>8</v>
      </c>
      <c r="U1461" s="7">
        <v>8</v>
      </c>
      <c r="V1461" s="7">
        <v>220</v>
      </c>
      <c r="W1461" s="7" t="s">
        <v>81</v>
      </c>
      <c r="X1461" s="7"/>
      <c r="Y1461" s="7"/>
      <c r="Z1461" s="7"/>
      <c r="AA1461" s="7"/>
      <c r="AB1461" s="7">
        <f t="shared" si="114"/>
        <v>2.6666666666666665</v>
      </c>
      <c r="AC1461" s="7">
        <f t="shared" si="112"/>
        <v>2.6666666666666665</v>
      </c>
      <c r="AD1461" s="7"/>
      <c r="AE1461" s="7"/>
      <c r="AF1461" s="7"/>
      <c r="AG1461" s="7"/>
      <c r="AH1461" s="7"/>
      <c r="AI1461" s="7"/>
      <c r="AJ1461" s="7"/>
      <c r="AK1461" s="7"/>
      <c r="AL1461" s="9"/>
      <c r="AM1461" s="7" t="s">
        <v>71</v>
      </c>
      <c r="AN1461" s="7" t="s">
        <v>71</v>
      </c>
      <c r="AO1461" s="12"/>
    </row>
    <row r="1462" spans="1:41" s="11" customFormat="1" x14ac:dyDescent="0.25">
      <c r="A1462" s="2">
        <v>1461</v>
      </c>
      <c r="B1462" s="7" t="s">
        <v>1137</v>
      </c>
      <c r="C1462" s="7" t="s">
        <v>50</v>
      </c>
      <c r="D1462" s="7">
        <v>20</v>
      </c>
      <c r="E1462" s="7">
        <v>20</v>
      </c>
      <c r="F1462" s="8">
        <v>1</v>
      </c>
      <c r="G1462" s="8">
        <v>1</v>
      </c>
      <c r="H1462" s="7">
        <v>1</v>
      </c>
      <c r="I1462" s="7">
        <v>1</v>
      </c>
      <c r="J1462" s="9" t="s">
        <v>176</v>
      </c>
      <c r="K1462" s="9" t="s">
        <v>213</v>
      </c>
      <c r="L1462" s="7" t="s">
        <v>52</v>
      </c>
      <c r="M1462" s="7">
        <f t="shared" si="111"/>
        <v>1</v>
      </c>
      <c r="N1462" s="9" t="s">
        <v>177</v>
      </c>
      <c r="O1462" s="7">
        <v>0</v>
      </c>
      <c r="P1462" s="9" t="s">
        <v>63</v>
      </c>
      <c r="Q1462" s="9" t="s">
        <v>38</v>
      </c>
      <c r="R1462" s="9" t="s">
        <v>52</v>
      </c>
      <c r="S1462" s="13" t="s">
        <v>1852</v>
      </c>
      <c r="T1462" s="7"/>
      <c r="U1462" s="7"/>
      <c r="V1462" s="7"/>
      <c r="W1462" s="7"/>
      <c r="X1462" s="7"/>
      <c r="Y1462" s="7">
        <v>10</v>
      </c>
      <c r="Z1462" s="7">
        <v>10</v>
      </c>
      <c r="AA1462" s="7">
        <v>100</v>
      </c>
      <c r="AB1462" s="7">
        <f t="shared" si="114"/>
        <v>3.3333333333333335</v>
      </c>
      <c r="AC1462" s="7">
        <f t="shared" si="112"/>
        <v>3.3333333333333335</v>
      </c>
      <c r="AD1462" s="7"/>
      <c r="AE1462" s="7"/>
      <c r="AF1462" s="7"/>
      <c r="AG1462" s="7"/>
      <c r="AH1462" s="7"/>
      <c r="AI1462" s="7"/>
      <c r="AJ1462" s="7"/>
      <c r="AK1462" s="7"/>
      <c r="AL1462" s="9"/>
      <c r="AM1462" s="7" t="s">
        <v>71</v>
      </c>
      <c r="AN1462" s="7" t="s">
        <v>71</v>
      </c>
      <c r="AO1462" s="12"/>
    </row>
    <row r="1463" spans="1:41" s="11" customFormat="1" x14ac:dyDescent="0.25">
      <c r="A1463" s="2">
        <v>1462</v>
      </c>
      <c r="B1463" s="7" t="s">
        <v>296</v>
      </c>
      <c r="C1463" s="7" t="s">
        <v>100</v>
      </c>
      <c r="D1463" s="7">
        <v>6</v>
      </c>
      <c r="E1463" s="7">
        <v>6</v>
      </c>
      <c r="F1463" s="8">
        <v>1</v>
      </c>
      <c r="G1463" s="8">
        <v>1</v>
      </c>
      <c r="H1463" s="7">
        <v>1</v>
      </c>
      <c r="I1463" s="7">
        <v>1</v>
      </c>
      <c r="J1463" s="9" t="s">
        <v>176</v>
      </c>
      <c r="K1463" s="7">
        <v>3</v>
      </c>
      <c r="L1463" s="7" t="s">
        <v>52</v>
      </c>
      <c r="M1463" s="7">
        <f t="shared" si="111"/>
        <v>1</v>
      </c>
      <c r="N1463" s="9"/>
      <c r="O1463" s="7"/>
      <c r="P1463" s="9"/>
      <c r="Q1463" s="7"/>
      <c r="R1463" s="7"/>
      <c r="S1463" s="7"/>
      <c r="T1463" s="7"/>
      <c r="U1463" s="7"/>
      <c r="V1463" s="7"/>
      <c r="W1463" s="7"/>
      <c r="X1463" s="7">
        <v>3</v>
      </c>
      <c r="Y1463" s="7"/>
      <c r="Z1463" s="7"/>
      <c r="AA1463" s="7"/>
      <c r="AB1463" s="7">
        <f t="shared" si="114"/>
        <v>1</v>
      </c>
      <c r="AC1463" s="7">
        <f t="shared" si="112"/>
        <v>1</v>
      </c>
      <c r="AD1463" s="7"/>
      <c r="AE1463" s="7"/>
      <c r="AF1463" s="7"/>
      <c r="AG1463" s="7"/>
      <c r="AH1463" s="7"/>
      <c r="AI1463" s="7"/>
      <c r="AJ1463" s="7"/>
      <c r="AK1463" s="7"/>
      <c r="AL1463" s="9"/>
      <c r="AM1463" s="7" t="s">
        <v>71</v>
      </c>
      <c r="AN1463" s="7" t="s">
        <v>71</v>
      </c>
      <c r="AO1463" s="12"/>
    </row>
    <row r="1464" spans="1:41" s="11" customFormat="1" x14ac:dyDescent="0.25">
      <c r="A1464" s="2">
        <v>1463</v>
      </c>
      <c r="B1464" s="7" t="s">
        <v>1235</v>
      </c>
      <c r="C1464" s="7" t="s">
        <v>100</v>
      </c>
      <c r="D1464" s="7">
        <v>5</v>
      </c>
      <c r="E1464" s="7">
        <v>5</v>
      </c>
      <c r="F1464" s="8">
        <v>1</v>
      </c>
      <c r="G1464" s="8">
        <v>1</v>
      </c>
      <c r="H1464" s="7">
        <v>1</v>
      </c>
      <c r="I1464" s="7">
        <v>1</v>
      </c>
      <c r="J1464" s="9" t="s">
        <v>176</v>
      </c>
      <c r="K1464" s="7">
        <v>3</v>
      </c>
      <c r="L1464" s="7" t="s">
        <v>52</v>
      </c>
      <c r="M1464" s="7">
        <f t="shared" si="111"/>
        <v>1</v>
      </c>
      <c r="N1464" s="9"/>
      <c r="O1464" s="7"/>
      <c r="P1464" s="9"/>
      <c r="Q1464" s="7"/>
      <c r="R1464" s="7"/>
      <c r="S1464" s="7"/>
      <c r="T1464" s="7"/>
      <c r="U1464" s="7"/>
      <c r="V1464" s="7"/>
      <c r="W1464" s="7"/>
      <c r="X1464" s="7">
        <v>3</v>
      </c>
      <c r="Y1464" s="7"/>
      <c r="Z1464" s="7"/>
      <c r="AA1464" s="7"/>
      <c r="AB1464" s="7">
        <f t="shared" si="114"/>
        <v>1</v>
      </c>
      <c r="AC1464" s="7">
        <f t="shared" si="112"/>
        <v>1</v>
      </c>
      <c r="AD1464" s="7"/>
      <c r="AE1464" s="7"/>
      <c r="AF1464" s="7"/>
      <c r="AG1464" s="7"/>
      <c r="AH1464" s="7"/>
      <c r="AI1464" s="10" t="s">
        <v>2307</v>
      </c>
      <c r="AJ1464" s="7"/>
      <c r="AK1464" s="7"/>
      <c r="AL1464" s="9"/>
      <c r="AM1464" s="7" t="s">
        <v>71</v>
      </c>
      <c r="AN1464" s="7" t="s">
        <v>71</v>
      </c>
      <c r="AO1464" s="12"/>
    </row>
    <row r="1465" spans="1:41" s="11" customFormat="1" x14ac:dyDescent="0.25">
      <c r="A1465" s="2">
        <v>1464</v>
      </c>
      <c r="B1465" s="7" t="s">
        <v>1235</v>
      </c>
      <c r="C1465" s="7" t="s">
        <v>100</v>
      </c>
      <c r="D1465" s="7">
        <v>4</v>
      </c>
      <c r="E1465" s="7">
        <v>4</v>
      </c>
      <c r="F1465" s="8">
        <v>1</v>
      </c>
      <c r="G1465" s="8">
        <v>1</v>
      </c>
      <c r="H1465" s="7">
        <v>1</v>
      </c>
      <c r="I1465" s="7">
        <v>1</v>
      </c>
      <c r="J1465" s="9" t="s">
        <v>176</v>
      </c>
      <c r="K1465" s="7">
        <v>5</v>
      </c>
      <c r="L1465" s="7" t="s">
        <v>52</v>
      </c>
      <c r="M1465" s="7">
        <f t="shared" si="111"/>
        <v>1</v>
      </c>
      <c r="N1465" s="9"/>
      <c r="O1465" s="7"/>
      <c r="P1465" s="9"/>
      <c r="Q1465" s="7"/>
      <c r="R1465" s="7"/>
      <c r="S1465" s="7"/>
      <c r="T1465" s="7"/>
      <c r="U1465" s="7"/>
      <c r="V1465" s="7"/>
      <c r="W1465" s="7"/>
      <c r="X1465" s="7">
        <v>3</v>
      </c>
      <c r="Y1465" s="7"/>
      <c r="Z1465" s="7"/>
      <c r="AA1465" s="7"/>
      <c r="AB1465" s="7">
        <f t="shared" si="114"/>
        <v>1</v>
      </c>
      <c r="AC1465" s="7">
        <f t="shared" si="112"/>
        <v>1</v>
      </c>
      <c r="AD1465" s="7"/>
      <c r="AE1465" s="7"/>
      <c r="AF1465" s="7"/>
      <c r="AG1465" s="7"/>
      <c r="AH1465" s="7"/>
      <c r="AI1465" s="7"/>
      <c r="AJ1465" s="7"/>
      <c r="AK1465" s="7"/>
      <c r="AL1465" s="9"/>
      <c r="AM1465" s="7" t="s">
        <v>71</v>
      </c>
      <c r="AN1465" s="7" t="s">
        <v>71</v>
      </c>
      <c r="AO1465" s="12"/>
    </row>
    <row r="1466" spans="1:41" s="11" customFormat="1" ht="24" x14ac:dyDescent="0.25">
      <c r="A1466" s="2">
        <v>1465</v>
      </c>
      <c r="B1466" s="7" t="s">
        <v>1266</v>
      </c>
      <c r="C1466" s="7" t="s">
        <v>119</v>
      </c>
      <c r="D1466" s="7">
        <v>13</v>
      </c>
      <c r="E1466" s="7">
        <v>13</v>
      </c>
      <c r="F1466" s="8">
        <v>1</v>
      </c>
      <c r="G1466" s="8">
        <v>1</v>
      </c>
      <c r="H1466" s="7">
        <v>1</v>
      </c>
      <c r="I1466" s="7">
        <v>1</v>
      </c>
      <c r="J1466" s="9" t="s">
        <v>176</v>
      </c>
      <c r="K1466" s="7">
        <v>2</v>
      </c>
      <c r="L1466" s="7" t="s">
        <v>52</v>
      </c>
      <c r="M1466" s="7">
        <f t="shared" si="111"/>
        <v>1</v>
      </c>
      <c r="N1466" s="9" t="s">
        <v>177</v>
      </c>
      <c r="O1466" s="7">
        <v>0</v>
      </c>
      <c r="P1466" s="9" t="s">
        <v>63</v>
      </c>
      <c r="Q1466" s="7"/>
      <c r="R1466" s="7" t="s">
        <v>38</v>
      </c>
      <c r="S1466" s="10" t="s">
        <v>2222</v>
      </c>
      <c r="T1466" s="7"/>
      <c r="U1466" s="7"/>
      <c r="V1466" s="7"/>
      <c r="W1466" s="7"/>
      <c r="X1466" s="7"/>
      <c r="Y1466" s="7"/>
      <c r="Z1466" s="7"/>
      <c r="AA1466" s="7"/>
      <c r="AB1466" s="7">
        <v>0.33333333333333298</v>
      </c>
      <c r="AC1466" s="7">
        <f t="shared" si="112"/>
        <v>0.33333333333333298</v>
      </c>
      <c r="AD1466" s="7">
        <v>1</v>
      </c>
      <c r="AE1466" s="7"/>
      <c r="AF1466" s="7" t="s">
        <v>40</v>
      </c>
      <c r="AG1466" s="7" t="s">
        <v>1267</v>
      </c>
      <c r="AH1466" s="7"/>
      <c r="AI1466" s="7"/>
      <c r="AJ1466" s="7"/>
      <c r="AK1466" s="7"/>
      <c r="AL1466" s="9"/>
      <c r="AM1466" s="7" t="s">
        <v>71</v>
      </c>
      <c r="AN1466" s="7" t="s">
        <v>71</v>
      </c>
      <c r="AO1466" s="12"/>
    </row>
    <row r="1467" spans="1:41" s="11" customFormat="1" x14ac:dyDescent="0.25">
      <c r="A1467" s="2">
        <v>1466</v>
      </c>
      <c r="B1467" s="7" t="s">
        <v>296</v>
      </c>
      <c r="C1467" s="7" t="s">
        <v>100</v>
      </c>
      <c r="D1467" s="7">
        <v>1</v>
      </c>
      <c r="E1467" s="7">
        <v>1</v>
      </c>
      <c r="F1467" s="8">
        <v>1</v>
      </c>
      <c r="G1467" s="8">
        <v>1</v>
      </c>
      <c r="H1467" s="7">
        <v>1</v>
      </c>
      <c r="I1467" s="7">
        <v>1</v>
      </c>
      <c r="J1467" s="9" t="s">
        <v>176</v>
      </c>
      <c r="K1467" s="7">
        <v>1</v>
      </c>
      <c r="L1467" s="7" t="s">
        <v>52</v>
      </c>
      <c r="M1467" s="7">
        <f t="shared" si="111"/>
        <v>1</v>
      </c>
      <c r="N1467" s="9"/>
      <c r="O1467" s="7"/>
      <c r="P1467" s="9"/>
      <c r="Q1467" s="7"/>
      <c r="R1467" s="7"/>
      <c r="S1467" s="7"/>
      <c r="T1467" s="7"/>
      <c r="U1467" s="7"/>
      <c r="V1467" s="7"/>
      <c r="W1467" s="7"/>
      <c r="X1467" s="7">
        <v>3</v>
      </c>
      <c r="Y1467" s="7"/>
      <c r="Z1467" s="7"/>
      <c r="AA1467" s="7"/>
      <c r="AB1467" s="7">
        <f t="shared" ref="AB1467:AB1513" si="115">(U1467+X1467+Z1467)/3</f>
        <v>1</v>
      </c>
      <c r="AC1467" s="7">
        <f t="shared" si="112"/>
        <v>1</v>
      </c>
      <c r="AD1467" s="7"/>
      <c r="AE1467" s="7"/>
      <c r="AF1467" s="7"/>
      <c r="AG1467" s="7"/>
      <c r="AH1467" s="7"/>
      <c r="AI1467" s="7"/>
      <c r="AJ1467" s="7"/>
      <c r="AK1467" s="7"/>
      <c r="AL1467" s="9"/>
      <c r="AM1467" s="7" t="s">
        <v>71</v>
      </c>
      <c r="AN1467" s="7" t="s">
        <v>71</v>
      </c>
      <c r="AO1467" s="12"/>
    </row>
    <row r="1468" spans="1:41" s="11" customFormat="1" ht="24" x14ac:dyDescent="0.25">
      <c r="A1468" s="2">
        <v>1467</v>
      </c>
      <c r="B1468" s="7" t="s">
        <v>57</v>
      </c>
      <c r="C1468" s="7" t="s">
        <v>78</v>
      </c>
      <c r="D1468" s="7">
        <v>29</v>
      </c>
      <c r="E1468" s="7">
        <v>29</v>
      </c>
      <c r="F1468" s="8">
        <v>1</v>
      </c>
      <c r="G1468" s="8">
        <v>1</v>
      </c>
      <c r="H1468" s="7">
        <v>1</v>
      </c>
      <c r="I1468" s="7">
        <v>1</v>
      </c>
      <c r="J1468" s="9" t="s">
        <v>176</v>
      </c>
      <c r="K1468" s="7" t="s">
        <v>268</v>
      </c>
      <c r="L1468" s="7" t="s">
        <v>52</v>
      </c>
      <c r="M1468" s="7">
        <f t="shared" si="111"/>
        <v>1</v>
      </c>
      <c r="N1468" s="9" t="s">
        <v>177</v>
      </c>
      <c r="O1468" s="7">
        <v>0</v>
      </c>
      <c r="P1468" s="9" t="s">
        <v>63</v>
      </c>
      <c r="Q1468" s="7" t="s">
        <v>38</v>
      </c>
      <c r="R1468" s="7" t="s">
        <v>52</v>
      </c>
      <c r="S1468" s="10" t="s">
        <v>2223</v>
      </c>
      <c r="T1468" s="7">
        <v>10</v>
      </c>
      <c r="U1468" s="7">
        <v>10</v>
      </c>
      <c r="V1468" s="7">
        <v>280</v>
      </c>
      <c r="W1468" s="7" t="s">
        <v>1263</v>
      </c>
      <c r="X1468" s="7"/>
      <c r="Y1468" s="7"/>
      <c r="Z1468" s="7"/>
      <c r="AA1468" s="7"/>
      <c r="AB1468" s="7">
        <f t="shared" si="115"/>
        <v>3.3333333333333335</v>
      </c>
      <c r="AC1468" s="7">
        <f t="shared" si="112"/>
        <v>3.3333333333333335</v>
      </c>
      <c r="AD1468" s="7"/>
      <c r="AE1468" s="7"/>
      <c r="AF1468" s="7"/>
      <c r="AG1468" s="7"/>
      <c r="AH1468" s="7"/>
      <c r="AI1468" s="7"/>
      <c r="AJ1468" s="7"/>
      <c r="AK1468" s="7"/>
      <c r="AL1468" s="9"/>
      <c r="AM1468" s="7" t="s">
        <v>71</v>
      </c>
      <c r="AN1468" s="7" t="s">
        <v>71</v>
      </c>
      <c r="AO1468" s="12"/>
    </row>
    <row r="1469" spans="1:41" s="11" customFormat="1" ht="36" x14ac:dyDescent="0.25">
      <c r="A1469" s="2">
        <v>1468</v>
      </c>
      <c r="B1469" s="7" t="s">
        <v>730</v>
      </c>
      <c r="C1469" s="7" t="s">
        <v>78</v>
      </c>
      <c r="D1469" s="7">
        <v>27</v>
      </c>
      <c r="E1469" s="7">
        <v>27</v>
      </c>
      <c r="F1469" s="8">
        <v>1</v>
      </c>
      <c r="G1469" s="8">
        <v>1</v>
      </c>
      <c r="H1469" s="7">
        <v>1</v>
      </c>
      <c r="I1469" s="7">
        <v>1</v>
      </c>
      <c r="J1469" s="9" t="s">
        <v>176</v>
      </c>
      <c r="K1469" s="9" t="s">
        <v>268</v>
      </c>
      <c r="L1469" s="7" t="s">
        <v>52</v>
      </c>
      <c r="M1469" s="7">
        <f t="shared" si="111"/>
        <v>1</v>
      </c>
      <c r="N1469" s="9" t="s">
        <v>177</v>
      </c>
      <c r="O1469" s="7">
        <v>0</v>
      </c>
      <c r="P1469" s="9" t="s">
        <v>63</v>
      </c>
      <c r="Q1469" s="9" t="s">
        <v>38</v>
      </c>
      <c r="R1469" s="9" t="s">
        <v>52</v>
      </c>
      <c r="S1469" s="13" t="s">
        <v>2224</v>
      </c>
      <c r="T1469" s="7">
        <v>11</v>
      </c>
      <c r="U1469" s="7">
        <v>11</v>
      </c>
      <c r="V1469" s="7">
        <v>210</v>
      </c>
      <c r="W1469" s="7" t="s">
        <v>1268</v>
      </c>
      <c r="X1469" s="7"/>
      <c r="Y1469" s="7"/>
      <c r="Z1469" s="7"/>
      <c r="AA1469" s="7"/>
      <c r="AB1469" s="7">
        <f t="shared" si="115"/>
        <v>3.6666666666666665</v>
      </c>
      <c r="AC1469" s="7">
        <f t="shared" si="112"/>
        <v>3.6666666666666665</v>
      </c>
      <c r="AD1469" s="7"/>
      <c r="AE1469" s="7"/>
      <c r="AF1469" s="7"/>
      <c r="AG1469" s="7"/>
      <c r="AH1469" s="7"/>
      <c r="AI1469" s="7"/>
      <c r="AJ1469" s="7"/>
      <c r="AK1469" s="7"/>
      <c r="AL1469" s="9"/>
      <c r="AM1469" s="7" t="s">
        <v>71</v>
      </c>
      <c r="AN1469" s="7" t="s">
        <v>71</v>
      </c>
      <c r="AO1469" s="12"/>
    </row>
    <row r="1470" spans="1:41" s="11" customFormat="1" ht="24" x14ac:dyDescent="0.25">
      <c r="A1470" s="2">
        <v>1469</v>
      </c>
      <c r="B1470" s="7" t="s">
        <v>1269</v>
      </c>
      <c r="C1470" s="7" t="s">
        <v>269</v>
      </c>
      <c r="D1470" s="7" t="s">
        <v>1270</v>
      </c>
      <c r="E1470" s="7">
        <v>48</v>
      </c>
      <c r="F1470" s="8">
        <v>1</v>
      </c>
      <c r="G1470" s="9" t="s">
        <v>196</v>
      </c>
      <c r="H1470" s="7">
        <v>2</v>
      </c>
      <c r="I1470" s="7">
        <v>2</v>
      </c>
      <c r="J1470" s="9" t="s">
        <v>176</v>
      </c>
      <c r="K1470" s="9" t="s">
        <v>268</v>
      </c>
      <c r="L1470" s="7" t="s">
        <v>52</v>
      </c>
      <c r="M1470" s="7">
        <f t="shared" si="111"/>
        <v>1</v>
      </c>
      <c r="N1470" s="9" t="s">
        <v>177</v>
      </c>
      <c r="O1470" s="7">
        <v>0</v>
      </c>
      <c r="P1470" s="9" t="s">
        <v>63</v>
      </c>
      <c r="Q1470" s="9" t="s">
        <v>38</v>
      </c>
      <c r="R1470" s="9" t="s">
        <v>52</v>
      </c>
      <c r="S1470" s="13" t="s">
        <v>2221</v>
      </c>
      <c r="T1470" s="7">
        <v>13</v>
      </c>
      <c r="U1470" s="7">
        <v>13</v>
      </c>
      <c r="V1470" s="7">
        <v>220</v>
      </c>
      <c r="W1470" s="7" t="s">
        <v>1261</v>
      </c>
      <c r="X1470" s="7"/>
      <c r="Y1470" s="7"/>
      <c r="Z1470" s="7"/>
      <c r="AA1470" s="7"/>
      <c r="AB1470" s="7">
        <f t="shared" si="115"/>
        <v>4.333333333333333</v>
      </c>
      <c r="AC1470" s="7">
        <f t="shared" si="112"/>
        <v>4.333333333333333</v>
      </c>
      <c r="AD1470" s="7"/>
      <c r="AE1470" s="7"/>
      <c r="AF1470" s="7"/>
      <c r="AG1470" s="7"/>
      <c r="AH1470" s="7"/>
      <c r="AI1470" s="7"/>
      <c r="AJ1470" s="7"/>
      <c r="AK1470" s="7"/>
      <c r="AL1470" s="9"/>
      <c r="AM1470" s="7" t="s">
        <v>215</v>
      </c>
      <c r="AN1470" s="7" t="s">
        <v>2850</v>
      </c>
      <c r="AO1470" s="15" t="s">
        <v>2729</v>
      </c>
    </row>
    <row r="1471" spans="1:41" s="11" customFormat="1" ht="24" x14ac:dyDescent="0.25">
      <c r="A1471" s="2">
        <v>1470</v>
      </c>
      <c r="B1471" s="7" t="s">
        <v>913</v>
      </c>
      <c r="C1471" s="7" t="s">
        <v>50</v>
      </c>
      <c r="D1471" s="7">
        <v>41</v>
      </c>
      <c r="E1471" s="7">
        <v>41</v>
      </c>
      <c r="F1471" s="8">
        <v>1</v>
      </c>
      <c r="G1471" s="8">
        <v>1</v>
      </c>
      <c r="H1471" s="7">
        <v>1</v>
      </c>
      <c r="I1471" s="7">
        <v>1</v>
      </c>
      <c r="J1471" s="9" t="s">
        <v>176</v>
      </c>
      <c r="K1471" s="7">
        <v>2</v>
      </c>
      <c r="L1471" s="7" t="s">
        <v>52</v>
      </c>
      <c r="M1471" s="7">
        <f t="shared" si="111"/>
        <v>1</v>
      </c>
      <c r="N1471" s="9" t="s">
        <v>177</v>
      </c>
      <c r="O1471" s="7">
        <v>0</v>
      </c>
      <c r="P1471" s="9" t="s">
        <v>63</v>
      </c>
      <c r="Q1471" s="7" t="s">
        <v>38</v>
      </c>
      <c r="R1471" s="7" t="s">
        <v>52</v>
      </c>
      <c r="S1471" s="13" t="s">
        <v>1852</v>
      </c>
      <c r="T1471" s="7"/>
      <c r="U1471" s="7"/>
      <c r="V1471" s="7"/>
      <c r="W1471" s="7"/>
      <c r="X1471" s="7"/>
      <c r="Y1471" s="7">
        <v>11</v>
      </c>
      <c r="Z1471" s="7">
        <v>11</v>
      </c>
      <c r="AA1471" s="7">
        <v>150</v>
      </c>
      <c r="AB1471" s="7">
        <f t="shared" si="115"/>
        <v>3.6666666666666665</v>
      </c>
      <c r="AC1471" s="7">
        <f t="shared" si="112"/>
        <v>3.6666666666666665</v>
      </c>
      <c r="AD1471" s="7"/>
      <c r="AE1471" s="7"/>
      <c r="AF1471" s="7"/>
      <c r="AG1471" s="7"/>
      <c r="AH1471" s="7"/>
      <c r="AI1471" s="10" t="s">
        <v>2327</v>
      </c>
      <c r="AJ1471" s="7"/>
      <c r="AK1471" s="7"/>
      <c r="AL1471" s="9"/>
      <c r="AM1471" s="7" t="s">
        <v>215</v>
      </c>
      <c r="AN1471" s="7" t="s">
        <v>2850</v>
      </c>
      <c r="AO1471" s="12"/>
    </row>
    <row r="1472" spans="1:41" s="11" customFormat="1" x14ac:dyDescent="0.25">
      <c r="A1472" s="2">
        <v>1471</v>
      </c>
      <c r="B1472" s="7" t="s">
        <v>655</v>
      </c>
      <c r="C1472" s="7" t="s">
        <v>100</v>
      </c>
      <c r="D1472" s="7">
        <v>11</v>
      </c>
      <c r="E1472" s="7">
        <v>11</v>
      </c>
      <c r="F1472" s="8">
        <v>1</v>
      </c>
      <c r="G1472" s="8">
        <v>1</v>
      </c>
      <c r="H1472" s="7">
        <v>1</v>
      </c>
      <c r="I1472" s="7">
        <v>1</v>
      </c>
      <c r="J1472" s="9" t="s">
        <v>176</v>
      </c>
      <c r="K1472" s="9" t="s">
        <v>268</v>
      </c>
      <c r="L1472" s="7" t="s">
        <v>52</v>
      </c>
      <c r="M1472" s="7">
        <f t="shared" si="111"/>
        <v>1</v>
      </c>
      <c r="N1472" s="9"/>
      <c r="O1472" s="7"/>
      <c r="P1472" s="9"/>
      <c r="Q1472" s="7"/>
      <c r="R1472" s="7"/>
      <c r="S1472" s="7"/>
      <c r="T1472" s="7"/>
      <c r="U1472" s="7"/>
      <c r="V1472" s="7"/>
      <c r="W1472" s="7"/>
      <c r="X1472" s="7">
        <v>3</v>
      </c>
      <c r="Y1472" s="7"/>
      <c r="Z1472" s="7"/>
      <c r="AA1472" s="7"/>
      <c r="AB1472" s="7">
        <f t="shared" si="115"/>
        <v>1</v>
      </c>
      <c r="AC1472" s="7">
        <f t="shared" si="112"/>
        <v>1</v>
      </c>
      <c r="AD1472" s="7"/>
      <c r="AE1472" s="7"/>
      <c r="AF1472" s="7"/>
      <c r="AG1472" s="7"/>
      <c r="AH1472" s="7"/>
      <c r="AI1472" s="7"/>
      <c r="AJ1472" s="7"/>
      <c r="AK1472" s="7"/>
      <c r="AL1472" s="9"/>
      <c r="AM1472" s="7" t="s">
        <v>71</v>
      </c>
      <c r="AN1472" s="7" t="s">
        <v>71</v>
      </c>
      <c r="AO1472" s="12"/>
    </row>
    <row r="1473" spans="1:41" s="11" customFormat="1" ht="24" x14ac:dyDescent="0.25">
      <c r="A1473" s="2">
        <v>1472</v>
      </c>
      <c r="B1473" s="7" t="s">
        <v>1271</v>
      </c>
      <c r="C1473" s="7" t="s">
        <v>823</v>
      </c>
      <c r="D1473" s="7" t="s">
        <v>1272</v>
      </c>
      <c r="E1473" s="7">
        <v>29</v>
      </c>
      <c r="F1473" s="8">
        <v>1</v>
      </c>
      <c r="G1473" s="9" t="s">
        <v>196</v>
      </c>
      <c r="H1473" s="7">
        <v>2</v>
      </c>
      <c r="I1473" s="7">
        <v>2</v>
      </c>
      <c r="J1473" s="9" t="s">
        <v>176</v>
      </c>
      <c r="K1473" s="9" t="s">
        <v>268</v>
      </c>
      <c r="L1473" s="7" t="s">
        <v>52</v>
      </c>
      <c r="M1473" s="7">
        <f t="shared" si="111"/>
        <v>1</v>
      </c>
      <c r="N1473" s="9" t="s">
        <v>177</v>
      </c>
      <c r="O1473" s="7">
        <v>0</v>
      </c>
      <c r="P1473" s="9" t="s">
        <v>63</v>
      </c>
      <c r="Q1473" s="9" t="s">
        <v>38</v>
      </c>
      <c r="R1473" s="9" t="s">
        <v>52</v>
      </c>
      <c r="S1473" s="13" t="s">
        <v>2225</v>
      </c>
      <c r="T1473" s="7"/>
      <c r="U1473" s="7"/>
      <c r="V1473" s="7"/>
      <c r="W1473" s="7"/>
      <c r="X1473" s="7">
        <v>3</v>
      </c>
      <c r="Y1473" s="7">
        <v>13</v>
      </c>
      <c r="Z1473" s="7">
        <v>13</v>
      </c>
      <c r="AA1473" s="7">
        <v>110</v>
      </c>
      <c r="AB1473" s="7">
        <f t="shared" si="115"/>
        <v>5.333333333333333</v>
      </c>
      <c r="AC1473" s="7">
        <f t="shared" si="112"/>
        <v>5.333333333333333</v>
      </c>
      <c r="AD1473" s="7"/>
      <c r="AE1473" s="7">
        <v>1</v>
      </c>
      <c r="AF1473" s="7" t="s">
        <v>40</v>
      </c>
      <c r="AG1473" s="7" t="s">
        <v>1273</v>
      </c>
      <c r="AH1473" s="7"/>
      <c r="AI1473" s="7"/>
      <c r="AJ1473" s="7"/>
      <c r="AK1473" s="7"/>
      <c r="AL1473" s="9"/>
      <c r="AM1473" s="7" t="s">
        <v>567</v>
      </c>
      <c r="AN1473" s="7" t="s">
        <v>2850</v>
      </c>
      <c r="AO1473" s="15" t="s">
        <v>2730</v>
      </c>
    </row>
    <row r="1474" spans="1:41" s="11" customFormat="1" x14ac:dyDescent="0.25">
      <c r="A1474" s="2">
        <v>1473</v>
      </c>
      <c r="B1474" s="7" t="s">
        <v>1235</v>
      </c>
      <c r="C1474" s="7" t="s">
        <v>100</v>
      </c>
      <c r="D1474" s="7">
        <v>14</v>
      </c>
      <c r="E1474" s="7">
        <v>14</v>
      </c>
      <c r="F1474" s="8">
        <v>1</v>
      </c>
      <c r="G1474" s="8">
        <v>1</v>
      </c>
      <c r="H1474" s="7">
        <v>1</v>
      </c>
      <c r="I1474" s="7">
        <v>1</v>
      </c>
      <c r="J1474" s="9" t="s">
        <v>176</v>
      </c>
      <c r="K1474" s="9" t="s">
        <v>268</v>
      </c>
      <c r="L1474" s="7" t="s">
        <v>52</v>
      </c>
      <c r="M1474" s="7">
        <f t="shared" ref="M1474:M1537" si="116">IF(L1474="n",F1474,0)</f>
        <v>1</v>
      </c>
      <c r="N1474" s="9"/>
      <c r="O1474" s="7"/>
      <c r="P1474" s="9"/>
      <c r="Q1474" s="7"/>
      <c r="R1474" s="7"/>
      <c r="S1474" s="7"/>
      <c r="T1474" s="7"/>
      <c r="U1474" s="7"/>
      <c r="V1474" s="7"/>
      <c r="W1474" s="7"/>
      <c r="X1474" s="7">
        <v>3</v>
      </c>
      <c r="Y1474" s="7"/>
      <c r="Z1474" s="7"/>
      <c r="AA1474" s="7"/>
      <c r="AB1474" s="7">
        <f t="shared" si="115"/>
        <v>1</v>
      </c>
      <c r="AC1474" s="7">
        <f t="shared" ref="AC1474:AC1537" si="117">IF(L1474="n",AB1474,0)</f>
        <v>1</v>
      </c>
      <c r="AD1474" s="7"/>
      <c r="AE1474" s="7"/>
      <c r="AF1474" s="7"/>
      <c r="AG1474" s="7"/>
      <c r="AH1474" s="7"/>
      <c r="AI1474" s="7"/>
      <c r="AJ1474" s="7"/>
      <c r="AK1474" s="7"/>
      <c r="AL1474" s="9"/>
      <c r="AM1474" s="7" t="s">
        <v>71</v>
      </c>
      <c r="AN1474" s="7" t="s">
        <v>71</v>
      </c>
      <c r="AO1474" s="12"/>
    </row>
    <row r="1475" spans="1:41" s="11" customFormat="1" ht="24" x14ac:dyDescent="0.25">
      <c r="A1475" s="2">
        <v>1474</v>
      </c>
      <c r="B1475" s="7" t="s">
        <v>338</v>
      </c>
      <c r="C1475" s="7" t="s">
        <v>50</v>
      </c>
      <c r="D1475" s="7" t="s">
        <v>1274</v>
      </c>
      <c r="E1475" s="7">
        <v>32</v>
      </c>
      <c r="F1475" s="8">
        <v>1</v>
      </c>
      <c r="G1475" s="8">
        <v>3</v>
      </c>
      <c r="H1475" s="7" t="s">
        <v>293</v>
      </c>
      <c r="I1475" s="7">
        <v>3</v>
      </c>
      <c r="J1475" s="9" t="s">
        <v>176</v>
      </c>
      <c r="K1475" s="9" t="s">
        <v>268</v>
      </c>
      <c r="L1475" s="7" t="s">
        <v>52</v>
      </c>
      <c r="M1475" s="7">
        <f t="shared" si="116"/>
        <v>1</v>
      </c>
      <c r="N1475" s="9" t="s">
        <v>177</v>
      </c>
      <c r="O1475" s="7">
        <v>0</v>
      </c>
      <c r="P1475" s="9" t="s">
        <v>63</v>
      </c>
      <c r="Q1475" s="9" t="s">
        <v>38</v>
      </c>
      <c r="R1475" s="9" t="s">
        <v>52</v>
      </c>
      <c r="S1475" s="13" t="s">
        <v>2226</v>
      </c>
      <c r="T1475" s="7"/>
      <c r="U1475" s="7"/>
      <c r="V1475" s="7"/>
      <c r="W1475" s="7"/>
      <c r="X1475" s="7"/>
      <c r="Y1475" s="7">
        <v>35</v>
      </c>
      <c r="Z1475" s="7">
        <v>35</v>
      </c>
      <c r="AA1475" s="7" t="s">
        <v>76</v>
      </c>
      <c r="AB1475" s="7">
        <f t="shared" si="115"/>
        <v>11.666666666666666</v>
      </c>
      <c r="AC1475" s="7">
        <f t="shared" si="117"/>
        <v>11.666666666666666</v>
      </c>
      <c r="AD1475" s="7"/>
      <c r="AE1475" s="7"/>
      <c r="AF1475" s="7"/>
      <c r="AG1475" s="7"/>
      <c r="AH1475" s="7"/>
      <c r="AI1475" s="7"/>
      <c r="AJ1475" s="7"/>
      <c r="AK1475" s="7"/>
      <c r="AL1475" s="9"/>
      <c r="AM1475" s="7" t="s">
        <v>71</v>
      </c>
      <c r="AN1475" s="7" t="s">
        <v>71</v>
      </c>
      <c r="AO1475" s="12"/>
    </row>
    <row r="1476" spans="1:41" s="11" customFormat="1" x14ac:dyDescent="0.25">
      <c r="A1476" s="2">
        <v>1475</v>
      </c>
      <c r="B1476" s="7" t="s">
        <v>1235</v>
      </c>
      <c r="C1476" s="7" t="s">
        <v>50</v>
      </c>
      <c r="D1476" s="7">
        <v>17</v>
      </c>
      <c r="E1476" s="7">
        <v>17</v>
      </c>
      <c r="F1476" s="8">
        <v>1</v>
      </c>
      <c r="G1476" s="8">
        <v>1</v>
      </c>
      <c r="H1476" s="7">
        <v>1</v>
      </c>
      <c r="I1476" s="7">
        <v>1</v>
      </c>
      <c r="J1476" s="9" t="s">
        <v>176</v>
      </c>
      <c r="K1476" s="9" t="s">
        <v>268</v>
      </c>
      <c r="L1476" s="7" t="s">
        <v>52</v>
      </c>
      <c r="M1476" s="7">
        <f t="shared" si="116"/>
        <v>1</v>
      </c>
      <c r="N1476" s="9" t="s">
        <v>177</v>
      </c>
      <c r="O1476" s="7">
        <v>0</v>
      </c>
      <c r="P1476" s="9" t="s">
        <v>63</v>
      </c>
      <c r="Q1476" s="9" t="s">
        <v>38</v>
      </c>
      <c r="R1476" s="9" t="s">
        <v>52</v>
      </c>
      <c r="S1476" s="13" t="s">
        <v>1852</v>
      </c>
      <c r="T1476" s="7"/>
      <c r="U1476" s="7"/>
      <c r="V1476" s="7"/>
      <c r="W1476" s="7"/>
      <c r="X1476" s="7"/>
      <c r="Y1476" s="7">
        <v>7</v>
      </c>
      <c r="Z1476" s="7">
        <v>7</v>
      </c>
      <c r="AA1476" s="7" t="s">
        <v>569</v>
      </c>
      <c r="AB1476" s="7">
        <f t="shared" si="115"/>
        <v>2.3333333333333335</v>
      </c>
      <c r="AC1476" s="7">
        <f t="shared" si="117"/>
        <v>2.3333333333333335</v>
      </c>
      <c r="AD1476" s="7"/>
      <c r="AE1476" s="7"/>
      <c r="AF1476" s="7"/>
      <c r="AG1476" s="7"/>
      <c r="AH1476" s="7"/>
      <c r="AI1476" s="7"/>
      <c r="AJ1476" s="7"/>
      <c r="AK1476" s="7"/>
      <c r="AL1476" s="9"/>
      <c r="AM1476" s="7" t="s">
        <v>71</v>
      </c>
      <c r="AN1476" s="7" t="s">
        <v>71</v>
      </c>
      <c r="AO1476" s="12"/>
    </row>
    <row r="1477" spans="1:41" s="11" customFormat="1" ht="24" x14ac:dyDescent="0.25">
      <c r="A1477" s="2">
        <v>1476</v>
      </c>
      <c r="B1477" s="7" t="s">
        <v>296</v>
      </c>
      <c r="C1477" s="7" t="s">
        <v>78</v>
      </c>
      <c r="D1477" s="7">
        <v>40</v>
      </c>
      <c r="E1477" s="7">
        <v>40</v>
      </c>
      <c r="F1477" s="8">
        <v>1</v>
      </c>
      <c r="G1477" s="8">
        <v>1</v>
      </c>
      <c r="H1477" s="7">
        <v>1</v>
      </c>
      <c r="I1477" s="7">
        <v>1</v>
      </c>
      <c r="J1477" s="9" t="s">
        <v>176</v>
      </c>
      <c r="K1477" s="9" t="s">
        <v>268</v>
      </c>
      <c r="L1477" s="7" t="s">
        <v>52</v>
      </c>
      <c r="M1477" s="7">
        <f t="shared" si="116"/>
        <v>1</v>
      </c>
      <c r="N1477" s="9" t="s">
        <v>177</v>
      </c>
      <c r="O1477" s="7">
        <v>0</v>
      </c>
      <c r="P1477" s="9" t="s">
        <v>63</v>
      </c>
      <c r="Q1477" s="9" t="s">
        <v>38</v>
      </c>
      <c r="R1477" s="9" t="s">
        <v>52</v>
      </c>
      <c r="S1477" s="13" t="s">
        <v>1852</v>
      </c>
      <c r="T1477" s="7">
        <v>12</v>
      </c>
      <c r="U1477" s="7">
        <v>12</v>
      </c>
      <c r="V1477" s="7">
        <v>220</v>
      </c>
      <c r="W1477" s="7" t="s">
        <v>1264</v>
      </c>
      <c r="X1477" s="7"/>
      <c r="Y1477" s="7"/>
      <c r="Z1477" s="7"/>
      <c r="AA1477" s="7"/>
      <c r="AB1477" s="7">
        <f t="shared" si="115"/>
        <v>4</v>
      </c>
      <c r="AC1477" s="7">
        <f t="shared" si="117"/>
        <v>4</v>
      </c>
      <c r="AD1477" s="7"/>
      <c r="AE1477" s="7"/>
      <c r="AF1477" s="7"/>
      <c r="AG1477" s="7"/>
      <c r="AH1477" s="7"/>
      <c r="AI1477" s="10" t="s">
        <v>2328</v>
      </c>
      <c r="AJ1477" s="7"/>
      <c r="AK1477" s="7"/>
      <c r="AL1477" s="9"/>
      <c r="AM1477" s="7" t="s">
        <v>215</v>
      </c>
      <c r="AN1477" s="7" t="s">
        <v>2850</v>
      </c>
      <c r="AO1477" s="12"/>
    </row>
    <row r="1478" spans="1:41" s="11" customFormat="1" ht="24" x14ac:dyDescent="0.25">
      <c r="A1478" s="2">
        <v>1477</v>
      </c>
      <c r="B1478" s="7" t="s">
        <v>296</v>
      </c>
      <c r="C1478" s="7" t="s">
        <v>78</v>
      </c>
      <c r="D1478" s="7">
        <v>7</v>
      </c>
      <c r="E1478" s="7">
        <v>7</v>
      </c>
      <c r="F1478" s="8">
        <v>1</v>
      </c>
      <c r="G1478" s="8">
        <v>1</v>
      </c>
      <c r="H1478" s="7">
        <v>1</v>
      </c>
      <c r="I1478" s="7">
        <v>1</v>
      </c>
      <c r="J1478" s="9" t="s">
        <v>176</v>
      </c>
      <c r="K1478" s="7" t="s">
        <v>189</v>
      </c>
      <c r="L1478" s="7" t="s">
        <v>52</v>
      </c>
      <c r="M1478" s="7">
        <f t="shared" si="116"/>
        <v>1</v>
      </c>
      <c r="N1478" s="9" t="s">
        <v>177</v>
      </c>
      <c r="O1478" s="7">
        <v>0</v>
      </c>
      <c r="P1478" s="9" t="s">
        <v>63</v>
      </c>
      <c r="Q1478" s="9" t="s">
        <v>38</v>
      </c>
      <c r="R1478" s="9" t="s">
        <v>52</v>
      </c>
      <c r="S1478" s="13" t="s">
        <v>2227</v>
      </c>
      <c r="T1478" s="7">
        <v>5</v>
      </c>
      <c r="U1478" s="7">
        <v>5</v>
      </c>
      <c r="V1478" s="9" t="s">
        <v>81</v>
      </c>
      <c r="W1478" s="9" t="s">
        <v>1275</v>
      </c>
      <c r="X1478" s="7"/>
      <c r="Y1478" s="7"/>
      <c r="Z1478" s="7"/>
      <c r="AA1478" s="7"/>
      <c r="AB1478" s="7">
        <f t="shared" si="115"/>
        <v>1.6666666666666667</v>
      </c>
      <c r="AC1478" s="7">
        <f t="shared" si="117"/>
        <v>1.6666666666666667</v>
      </c>
      <c r="AD1478" s="7"/>
      <c r="AE1478" s="7"/>
      <c r="AF1478" s="7"/>
      <c r="AG1478" s="7"/>
      <c r="AH1478" s="7"/>
      <c r="AI1478" s="7"/>
      <c r="AJ1478" s="7"/>
      <c r="AK1478" s="7"/>
      <c r="AL1478" s="9"/>
      <c r="AM1478" s="7" t="s">
        <v>71</v>
      </c>
      <c r="AN1478" s="7" t="s">
        <v>71</v>
      </c>
      <c r="AO1478" s="12"/>
    </row>
    <row r="1479" spans="1:41" s="11" customFormat="1" ht="24" x14ac:dyDescent="0.25">
      <c r="A1479" s="2">
        <v>1478</v>
      </c>
      <c r="B1479" s="7" t="s">
        <v>913</v>
      </c>
      <c r="C1479" s="7" t="s">
        <v>78</v>
      </c>
      <c r="D1479" s="7">
        <v>14</v>
      </c>
      <c r="E1479" s="7">
        <v>14</v>
      </c>
      <c r="F1479" s="8">
        <v>1</v>
      </c>
      <c r="G1479" s="8">
        <v>2</v>
      </c>
      <c r="H1479" s="7">
        <v>2</v>
      </c>
      <c r="I1479" s="7">
        <v>2</v>
      </c>
      <c r="J1479" s="9" t="s">
        <v>176</v>
      </c>
      <c r="K1479" s="9" t="s">
        <v>268</v>
      </c>
      <c r="L1479" s="7" t="s">
        <v>52</v>
      </c>
      <c r="M1479" s="7">
        <f t="shared" si="116"/>
        <v>1</v>
      </c>
      <c r="N1479" s="9" t="s">
        <v>109</v>
      </c>
      <c r="O1479" s="7">
        <v>0</v>
      </c>
      <c r="P1479" s="9" t="s">
        <v>63</v>
      </c>
      <c r="Q1479" s="9" t="s">
        <v>38</v>
      </c>
      <c r="R1479" s="9" t="s">
        <v>52</v>
      </c>
      <c r="S1479" s="13" t="s">
        <v>2228</v>
      </c>
      <c r="T1479" s="7">
        <v>7</v>
      </c>
      <c r="U1479" s="7">
        <v>7</v>
      </c>
      <c r="V1479" s="7">
        <v>170</v>
      </c>
      <c r="W1479" s="7" t="s">
        <v>1264</v>
      </c>
      <c r="X1479" s="7"/>
      <c r="Y1479" s="7"/>
      <c r="Z1479" s="7"/>
      <c r="AA1479" s="7"/>
      <c r="AB1479" s="7">
        <f t="shared" si="115"/>
        <v>2.3333333333333335</v>
      </c>
      <c r="AC1479" s="7">
        <f t="shared" si="117"/>
        <v>2.3333333333333335</v>
      </c>
      <c r="AD1479" s="7"/>
      <c r="AE1479" s="7"/>
      <c r="AF1479" s="7"/>
      <c r="AG1479" s="7"/>
      <c r="AH1479" s="7"/>
      <c r="AI1479" s="7"/>
      <c r="AJ1479" s="7"/>
      <c r="AK1479" s="7"/>
      <c r="AL1479" s="9"/>
      <c r="AM1479" s="7" t="s">
        <v>215</v>
      </c>
      <c r="AN1479" s="7" t="s">
        <v>2850</v>
      </c>
      <c r="AO1479" s="12"/>
    </row>
    <row r="1480" spans="1:41" s="11" customFormat="1" ht="24" x14ac:dyDescent="0.25">
      <c r="A1480" s="2">
        <v>1479</v>
      </c>
      <c r="B1480" s="7" t="s">
        <v>1276</v>
      </c>
      <c r="C1480" s="7" t="s">
        <v>78</v>
      </c>
      <c r="D1480" s="7" t="s">
        <v>1277</v>
      </c>
      <c r="E1480" s="7">
        <v>46</v>
      </c>
      <c r="F1480" s="8">
        <v>1</v>
      </c>
      <c r="G1480" s="9" t="s">
        <v>196</v>
      </c>
      <c r="H1480" s="7">
        <v>2</v>
      </c>
      <c r="I1480" s="7">
        <v>2</v>
      </c>
      <c r="J1480" s="9" t="s">
        <v>176</v>
      </c>
      <c r="K1480" s="7">
        <v>2</v>
      </c>
      <c r="L1480" s="7" t="s">
        <v>52</v>
      </c>
      <c r="M1480" s="7">
        <f t="shared" si="116"/>
        <v>1</v>
      </c>
      <c r="N1480" s="9" t="s">
        <v>177</v>
      </c>
      <c r="O1480" s="7">
        <v>0</v>
      </c>
      <c r="P1480" s="9" t="s">
        <v>63</v>
      </c>
      <c r="Q1480" s="9" t="s">
        <v>38</v>
      </c>
      <c r="R1480" s="9" t="s">
        <v>38</v>
      </c>
      <c r="S1480" s="13" t="s">
        <v>2229</v>
      </c>
      <c r="T1480" s="7">
        <v>20</v>
      </c>
      <c r="U1480" s="7">
        <v>20</v>
      </c>
      <c r="V1480" s="7">
        <v>150</v>
      </c>
      <c r="W1480" s="7" t="s">
        <v>1278</v>
      </c>
      <c r="X1480" s="7"/>
      <c r="Y1480" s="7"/>
      <c r="Z1480" s="7"/>
      <c r="AA1480" s="7"/>
      <c r="AB1480" s="7">
        <f t="shared" si="115"/>
        <v>6.666666666666667</v>
      </c>
      <c r="AC1480" s="7">
        <f t="shared" si="117"/>
        <v>6.666666666666667</v>
      </c>
      <c r="AD1480" s="7"/>
      <c r="AE1480" s="7"/>
      <c r="AF1480" s="7"/>
      <c r="AG1480" s="7"/>
      <c r="AH1480" s="7"/>
      <c r="AI1480" s="7"/>
      <c r="AJ1480" s="7"/>
      <c r="AK1480" s="7"/>
      <c r="AL1480" s="9"/>
      <c r="AM1480" s="7" t="s">
        <v>71</v>
      </c>
      <c r="AN1480" s="7" t="s">
        <v>71</v>
      </c>
      <c r="AO1480" s="12"/>
    </row>
    <row r="1481" spans="1:41" s="11" customFormat="1" ht="24" x14ac:dyDescent="0.25">
      <c r="A1481" s="2">
        <v>1480</v>
      </c>
      <c r="B1481" s="7" t="s">
        <v>1279</v>
      </c>
      <c r="C1481" s="7" t="s">
        <v>784</v>
      </c>
      <c r="D1481" s="7" t="s">
        <v>1280</v>
      </c>
      <c r="E1481" s="7">
        <f>11+8+15+3</f>
        <v>37</v>
      </c>
      <c r="F1481" s="8">
        <v>1</v>
      </c>
      <c r="G1481" s="9" t="s">
        <v>1281</v>
      </c>
      <c r="H1481" s="7" t="s">
        <v>400</v>
      </c>
      <c r="I1481" s="7">
        <v>11</v>
      </c>
      <c r="J1481" s="9" t="s">
        <v>176</v>
      </c>
      <c r="K1481" s="7">
        <v>10</v>
      </c>
      <c r="L1481" s="7" t="s">
        <v>52</v>
      </c>
      <c r="M1481" s="7">
        <f t="shared" si="116"/>
        <v>1</v>
      </c>
      <c r="N1481" s="9" t="s">
        <v>109</v>
      </c>
      <c r="O1481" s="7">
        <v>0</v>
      </c>
      <c r="P1481" s="9" t="s">
        <v>63</v>
      </c>
      <c r="Q1481" s="9" t="s">
        <v>38</v>
      </c>
      <c r="R1481" s="9" t="s">
        <v>38</v>
      </c>
      <c r="S1481" s="7" t="s">
        <v>1282</v>
      </c>
      <c r="T1481" s="7"/>
      <c r="U1481" s="7"/>
      <c r="V1481" s="7"/>
      <c r="W1481" s="7"/>
      <c r="X1481" s="7">
        <v>3</v>
      </c>
      <c r="Y1481" s="7"/>
      <c r="Z1481" s="7"/>
      <c r="AA1481" s="7"/>
      <c r="AB1481" s="7">
        <f t="shared" si="115"/>
        <v>1</v>
      </c>
      <c r="AC1481" s="7">
        <f t="shared" si="117"/>
        <v>1</v>
      </c>
      <c r="AD1481" s="7"/>
      <c r="AE1481" s="7">
        <v>1</v>
      </c>
      <c r="AF1481" s="7"/>
      <c r="AG1481" s="7" t="s">
        <v>1283</v>
      </c>
      <c r="AH1481" s="7"/>
      <c r="AI1481" s="7"/>
      <c r="AJ1481" s="7"/>
      <c r="AK1481" s="7"/>
      <c r="AL1481" s="9"/>
      <c r="AM1481" s="7" t="s">
        <v>71</v>
      </c>
      <c r="AN1481" s="7" t="s">
        <v>71</v>
      </c>
      <c r="AO1481" s="12"/>
    </row>
    <row r="1482" spans="1:41" s="11" customFormat="1" x14ac:dyDescent="0.25">
      <c r="A1482" s="2">
        <v>1481</v>
      </c>
      <c r="B1482" s="7" t="s">
        <v>755</v>
      </c>
      <c r="C1482" s="7" t="s">
        <v>100</v>
      </c>
      <c r="D1482" s="7">
        <v>6</v>
      </c>
      <c r="E1482" s="7">
        <v>6</v>
      </c>
      <c r="F1482" s="8">
        <v>1</v>
      </c>
      <c r="G1482" s="8">
        <v>1</v>
      </c>
      <c r="H1482" s="7">
        <v>1</v>
      </c>
      <c r="I1482" s="7">
        <v>1</v>
      </c>
      <c r="J1482" s="9" t="s">
        <v>176</v>
      </c>
      <c r="K1482" s="7">
        <v>10</v>
      </c>
      <c r="L1482" s="7" t="s">
        <v>52</v>
      </c>
      <c r="M1482" s="7">
        <f t="shared" si="116"/>
        <v>1</v>
      </c>
      <c r="N1482" s="9"/>
      <c r="O1482" s="7"/>
      <c r="P1482" s="9"/>
      <c r="Q1482" s="7"/>
      <c r="R1482" s="7"/>
      <c r="S1482" s="7"/>
      <c r="T1482" s="7"/>
      <c r="U1482" s="7"/>
      <c r="V1482" s="7"/>
      <c r="W1482" s="7"/>
      <c r="X1482" s="7">
        <v>3</v>
      </c>
      <c r="Y1482" s="7"/>
      <c r="Z1482" s="7"/>
      <c r="AA1482" s="7"/>
      <c r="AB1482" s="7">
        <f t="shared" si="115"/>
        <v>1</v>
      </c>
      <c r="AC1482" s="7">
        <f t="shared" si="117"/>
        <v>1</v>
      </c>
      <c r="AD1482" s="7"/>
      <c r="AE1482" s="7"/>
      <c r="AF1482" s="7"/>
      <c r="AG1482" s="7"/>
      <c r="AH1482" s="7"/>
      <c r="AI1482" s="7"/>
      <c r="AJ1482" s="7"/>
      <c r="AK1482" s="7"/>
      <c r="AL1482" s="9"/>
      <c r="AM1482" s="7" t="s">
        <v>71</v>
      </c>
      <c r="AN1482" s="7" t="s">
        <v>71</v>
      </c>
      <c r="AO1482" s="12"/>
    </row>
    <row r="1483" spans="1:41" s="11" customFormat="1" ht="24" x14ac:dyDescent="0.25">
      <c r="A1483" s="2">
        <v>1482</v>
      </c>
      <c r="B1483" s="7" t="s">
        <v>1284</v>
      </c>
      <c r="C1483" s="7" t="s">
        <v>78</v>
      </c>
      <c r="D1483" s="7" t="s">
        <v>1285</v>
      </c>
      <c r="E1483" s="7">
        <f>17+15+12</f>
        <v>44</v>
      </c>
      <c r="F1483" s="8">
        <v>1</v>
      </c>
      <c r="G1483" s="9" t="s">
        <v>627</v>
      </c>
      <c r="H1483" s="7">
        <v>4</v>
      </c>
      <c r="I1483" s="7">
        <v>4</v>
      </c>
      <c r="J1483" s="9" t="s">
        <v>176</v>
      </c>
      <c r="K1483" s="7">
        <v>2</v>
      </c>
      <c r="L1483" s="7" t="s">
        <v>52</v>
      </c>
      <c r="M1483" s="7">
        <f t="shared" si="116"/>
        <v>1</v>
      </c>
      <c r="N1483" s="9" t="s">
        <v>177</v>
      </c>
      <c r="O1483" s="7">
        <v>0</v>
      </c>
      <c r="P1483" s="9" t="s">
        <v>63</v>
      </c>
      <c r="Q1483" s="9" t="s">
        <v>38</v>
      </c>
      <c r="R1483" s="9" t="s">
        <v>38</v>
      </c>
      <c r="S1483" s="9" t="s">
        <v>1286</v>
      </c>
      <c r="T1483" s="7">
        <v>16</v>
      </c>
      <c r="U1483" s="7">
        <v>16</v>
      </c>
      <c r="V1483" s="7">
        <v>210</v>
      </c>
      <c r="W1483" s="7" t="s">
        <v>715</v>
      </c>
      <c r="X1483" s="7"/>
      <c r="Y1483" s="7"/>
      <c r="Z1483" s="7"/>
      <c r="AA1483" s="7"/>
      <c r="AB1483" s="7">
        <f t="shared" si="115"/>
        <v>5.333333333333333</v>
      </c>
      <c r="AC1483" s="7">
        <f t="shared" si="117"/>
        <v>5.333333333333333</v>
      </c>
      <c r="AD1483" s="7"/>
      <c r="AE1483" s="7"/>
      <c r="AF1483" s="7"/>
      <c r="AG1483" s="7"/>
      <c r="AH1483" s="7"/>
      <c r="AI1483" s="7"/>
      <c r="AJ1483" s="7"/>
      <c r="AK1483" s="10" t="s">
        <v>2491</v>
      </c>
      <c r="AL1483" s="9"/>
      <c r="AM1483" s="7" t="s">
        <v>215</v>
      </c>
      <c r="AN1483" s="7" t="s">
        <v>2850</v>
      </c>
      <c r="AO1483" s="12"/>
    </row>
    <row r="1484" spans="1:41" s="11" customFormat="1" ht="24" x14ac:dyDescent="0.25">
      <c r="A1484" s="2">
        <v>1483</v>
      </c>
      <c r="B1484" s="7" t="s">
        <v>1287</v>
      </c>
      <c r="C1484" s="7" t="s">
        <v>50</v>
      </c>
      <c r="D1484" s="7" t="s">
        <v>1288</v>
      </c>
      <c r="E1484" s="7">
        <f>93+8</f>
        <v>101</v>
      </c>
      <c r="F1484" s="8">
        <v>1</v>
      </c>
      <c r="G1484" s="9" t="s">
        <v>168</v>
      </c>
      <c r="H1484" s="7">
        <v>3</v>
      </c>
      <c r="I1484" s="7">
        <v>3</v>
      </c>
      <c r="J1484" s="9" t="s">
        <v>176</v>
      </c>
      <c r="K1484" s="7">
        <v>2</v>
      </c>
      <c r="L1484" s="7" t="s">
        <v>52</v>
      </c>
      <c r="M1484" s="7">
        <f t="shared" si="116"/>
        <v>1</v>
      </c>
      <c r="N1484" s="9" t="s">
        <v>177</v>
      </c>
      <c r="O1484" s="7">
        <v>1</v>
      </c>
      <c r="P1484" s="9" t="s">
        <v>63</v>
      </c>
      <c r="Q1484" s="9" t="s">
        <v>38</v>
      </c>
      <c r="R1484" s="9" t="s">
        <v>38</v>
      </c>
      <c r="S1484" s="13" t="s">
        <v>2230</v>
      </c>
      <c r="T1484" s="7"/>
      <c r="U1484" s="7"/>
      <c r="V1484" s="7"/>
      <c r="W1484" s="7"/>
      <c r="X1484" s="7"/>
      <c r="Y1484" s="7">
        <v>25</v>
      </c>
      <c r="Z1484" s="7">
        <v>25</v>
      </c>
      <c r="AA1484" s="7">
        <v>110</v>
      </c>
      <c r="AB1484" s="7">
        <f t="shared" si="115"/>
        <v>8.3333333333333339</v>
      </c>
      <c r="AC1484" s="7">
        <f t="shared" si="117"/>
        <v>8.3333333333333339</v>
      </c>
      <c r="AD1484" s="7"/>
      <c r="AE1484" s="7"/>
      <c r="AF1484" s="7"/>
      <c r="AG1484" s="7"/>
      <c r="AH1484" s="7"/>
      <c r="AI1484" s="7"/>
      <c r="AJ1484" s="7"/>
      <c r="AK1484" s="7"/>
      <c r="AL1484" s="9"/>
      <c r="AM1484" s="7" t="s">
        <v>215</v>
      </c>
      <c r="AN1484" s="7" t="s">
        <v>2850</v>
      </c>
      <c r="AO1484" s="15" t="s">
        <v>2731</v>
      </c>
    </row>
    <row r="1485" spans="1:41" s="11" customFormat="1" ht="24" x14ac:dyDescent="0.25">
      <c r="A1485" s="2">
        <v>1484</v>
      </c>
      <c r="B1485" s="7" t="s">
        <v>1235</v>
      </c>
      <c r="C1485" s="7" t="s">
        <v>78</v>
      </c>
      <c r="D1485" s="7">
        <v>7</v>
      </c>
      <c r="E1485" s="7">
        <v>7</v>
      </c>
      <c r="F1485" s="8">
        <v>1</v>
      </c>
      <c r="G1485" s="8">
        <v>1</v>
      </c>
      <c r="H1485" s="7">
        <v>1</v>
      </c>
      <c r="I1485" s="7">
        <v>1</v>
      </c>
      <c r="J1485" s="9" t="s">
        <v>176</v>
      </c>
      <c r="K1485" s="7">
        <v>10</v>
      </c>
      <c r="L1485" s="7" t="s">
        <v>52</v>
      </c>
      <c r="M1485" s="7">
        <f t="shared" si="116"/>
        <v>1</v>
      </c>
      <c r="N1485" s="9" t="s">
        <v>177</v>
      </c>
      <c r="O1485" s="7">
        <v>0</v>
      </c>
      <c r="P1485" s="9" t="s">
        <v>63</v>
      </c>
      <c r="Q1485" s="9" t="s">
        <v>38</v>
      </c>
      <c r="R1485" s="9" t="s">
        <v>38</v>
      </c>
      <c r="S1485" s="13" t="s">
        <v>2231</v>
      </c>
      <c r="T1485" s="7">
        <v>10</v>
      </c>
      <c r="U1485" s="7">
        <v>10</v>
      </c>
      <c r="V1485" s="7">
        <v>120</v>
      </c>
      <c r="W1485" s="7" t="s">
        <v>83</v>
      </c>
      <c r="X1485" s="7"/>
      <c r="Y1485" s="7"/>
      <c r="Z1485" s="7"/>
      <c r="AA1485" s="7"/>
      <c r="AB1485" s="7">
        <f t="shared" si="115"/>
        <v>3.3333333333333335</v>
      </c>
      <c r="AC1485" s="7">
        <f t="shared" si="117"/>
        <v>3.3333333333333335</v>
      </c>
      <c r="AD1485" s="7"/>
      <c r="AE1485" s="7"/>
      <c r="AF1485" s="7"/>
      <c r="AG1485" s="7"/>
      <c r="AH1485" s="7"/>
      <c r="AI1485" s="7"/>
      <c r="AJ1485" s="7"/>
      <c r="AK1485" s="10" t="s">
        <v>2492</v>
      </c>
      <c r="AL1485" s="9"/>
      <c r="AM1485" s="7" t="s">
        <v>71</v>
      </c>
      <c r="AN1485" s="7" t="s">
        <v>71</v>
      </c>
      <c r="AO1485" s="12"/>
    </row>
    <row r="1486" spans="1:41" s="11" customFormat="1" ht="24" x14ac:dyDescent="0.25">
      <c r="A1486" s="2">
        <v>1485</v>
      </c>
      <c r="B1486" s="7" t="s">
        <v>296</v>
      </c>
      <c r="C1486" s="7" t="s">
        <v>78</v>
      </c>
      <c r="D1486" s="7">
        <v>7</v>
      </c>
      <c r="E1486" s="7">
        <v>7</v>
      </c>
      <c r="F1486" s="8">
        <v>1</v>
      </c>
      <c r="G1486" s="8">
        <v>1</v>
      </c>
      <c r="H1486" s="7">
        <v>1</v>
      </c>
      <c r="I1486" s="7">
        <v>1</v>
      </c>
      <c r="J1486" s="9" t="s">
        <v>176</v>
      </c>
      <c r="K1486" s="7">
        <v>10</v>
      </c>
      <c r="L1486" s="7" t="s">
        <v>52</v>
      </c>
      <c r="M1486" s="7">
        <f t="shared" si="116"/>
        <v>1</v>
      </c>
      <c r="N1486" s="9" t="s">
        <v>177</v>
      </c>
      <c r="O1486" s="7">
        <v>0</v>
      </c>
      <c r="P1486" s="9" t="s">
        <v>63</v>
      </c>
      <c r="Q1486" s="9" t="s">
        <v>38</v>
      </c>
      <c r="R1486" s="9" t="s">
        <v>38</v>
      </c>
      <c r="S1486" s="13" t="s">
        <v>2231</v>
      </c>
      <c r="T1486" s="7">
        <v>8</v>
      </c>
      <c r="U1486" s="7">
        <v>8</v>
      </c>
      <c r="V1486" s="7">
        <v>120</v>
      </c>
      <c r="W1486" s="7" t="s">
        <v>83</v>
      </c>
      <c r="X1486" s="7"/>
      <c r="Y1486" s="7"/>
      <c r="Z1486" s="7"/>
      <c r="AA1486" s="7"/>
      <c r="AB1486" s="7">
        <f t="shared" si="115"/>
        <v>2.6666666666666665</v>
      </c>
      <c r="AC1486" s="7">
        <f t="shared" si="117"/>
        <v>2.6666666666666665</v>
      </c>
      <c r="AD1486" s="7"/>
      <c r="AE1486" s="7"/>
      <c r="AF1486" s="7"/>
      <c r="AG1486" s="7"/>
      <c r="AH1486" s="7"/>
      <c r="AI1486" s="7"/>
      <c r="AJ1486" s="7"/>
      <c r="AK1486" s="10" t="s">
        <v>2492</v>
      </c>
      <c r="AL1486" s="9"/>
      <c r="AM1486" s="7" t="s">
        <v>71</v>
      </c>
      <c r="AN1486" s="7" t="s">
        <v>71</v>
      </c>
      <c r="AO1486" s="12"/>
    </row>
    <row r="1487" spans="1:41" s="11" customFormat="1" ht="36" x14ac:dyDescent="0.25">
      <c r="A1487" s="2">
        <v>1486</v>
      </c>
      <c r="B1487" s="7" t="s">
        <v>1289</v>
      </c>
      <c r="C1487" s="7" t="s">
        <v>44</v>
      </c>
      <c r="D1487" s="7" t="s">
        <v>1290</v>
      </c>
      <c r="E1487" s="7">
        <f>76+73+18+22</f>
        <v>189</v>
      </c>
      <c r="F1487" s="8">
        <v>1</v>
      </c>
      <c r="G1487" s="9" t="s">
        <v>320</v>
      </c>
      <c r="H1487" s="9" t="s">
        <v>195</v>
      </c>
      <c r="I1487" s="8">
        <v>8</v>
      </c>
      <c r="J1487" s="9" t="s">
        <v>176</v>
      </c>
      <c r="K1487" s="9" t="s">
        <v>1291</v>
      </c>
      <c r="L1487" s="7" t="s">
        <v>52</v>
      </c>
      <c r="M1487" s="7">
        <f t="shared" si="116"/>
        <v>1</v>
      </c>
      <c r="N1487" s="9" t="s">
        <v>177</v>
      </c>
      <c r="O1487" s="7">
        <v>0</v>
      </c>
      <c r="P1487" s="9" t="s">
        <v>63</v>
      </c>
      <c r="Q1487" s="9" t="s">
        <v>38</v>
      </c>
      <c r="R1487" s="9" t="s">
        <v>38</v>
      </c>
      <c r="S1487" s="13" t="s">
        <v>2232</v>
      </c>
      <c r="T1487" s="7">
        <v>12</v>
      </c>
      <c r="U1487" s="7">
        <v>12</v>
      </c>
      <c r="V1487" s="7">
        <v>200</v>
      </c>
      <c r="W1487" s="7" t="s">
        <v>1292</v>
      </c>
      <c r="X1487" s="7">
        <v>10</v>
      </c>
      <c r="Y1487" s="7">
        <v>18</v>
      </c>
      <c r="Z1487" s="7">
        <v>18</v>
      </c>
      <c r="AA1487" s="7">
        <v>130</v>
      </c>
      <c r="AB1487" s="7">
        <f t="shared" si="115"/>
        <v>13.333333333333334</v>
      </c>
      <c r="AC1487" s="7">
        <f t="shared" si="117"/>
        <v>13.333333333333334</v>
      </c>
      <c r="AD1487" s="7"/>
      <c r="AE1487" s="7"/>
      <c r="AF1487" s="7"/>
      <c r="AG1487" s="7"/>
      <c r="AH1487" s="7"/>
      <c r="AI1487" s="7"/>
      <c r="AJ1487" s="10" t="s">
        <v>2412</v>
      </c>
      <c r="AK1487" s="10" t="s">
        <v>2493</v>
      </c>
      <c r="AL1487" s="9"/>
      <c r="AM1487" s="7" t="s">
        <v>137</v>
      </c>
      <c r="AN1487" s="7" t="s">
        <v>2848</v>
      </c>
      <c r="AO1487" s="15" t="s">
        <v>2732</v>
      </c>
    </row>
    <row r="1488" spans="1:41" s="11" customFormat="1" x14ac:dyDescent="0.25">
      <c r="A1488" s="2">
        <v>1487</v>
      </c>
      <c r="B1488" s="7" t="s">
        <v>57</v>
      </c>
      <c r="C1488" s="7" t="s">
        <v>100</v>
      </c>
      <c r="D1488" s="7">
        <v>6</v>
      </c>
      <c r="E1488" s="7">
        <v>6</v>
      </c>
      <c r="F1488" s="8">
        <v>1</v>
      </c>
      <c r="G1488" s="8">
        <v>1</v>
      </c>
      <c r="H1488" s="7">
        <v>1</v>
      </c>
      <c r="I1488" s="7">
        <v>1</v>
      </c>
      <c r="J1488" s="9" t="s">
        <v>176</v>
      </c>
      <c r="K1488" s="9" t="s">
        <v>1291</v>
      </c>
      <c r="L1488" s="7" t="s">
        <v>52</v>
      </c>
      <c r="M1488" s="7">
        <f t="shared" si="116"/>
        <v>1</v>
      </c>
      <c r="N1488" s="9"/>
      <c r="O1488" s="7"/>
      <c r="P1488" s="9"/>
      <c r="Q1488" s="7"/>
      <c r="R1488" s="7"/>
      <c r="S1488" s="7"/>
      <c r="T1488" s="7"/>
      <c r="U1488" s="7"/>
      <c r="V1488" s="7"/>
      <c r="W1488" s="7"/>
      <c r="X1488" s="7">
        <v>3</v>
      </c>
      <c r="Y1488" s="7"/>
      <c r="Z1488" s="7"/>
      <c r="AA1488" s="7"/>
      <c r="AB1488" s="7">
        <f t="shared" si="115"/>
        <v>1</v>
      </c>
      <c r="AC1488" s="7">
        <f t="shared" si="117"/>
        <v>1</v>
      </c>
      <c r="AD1488" s="7"/>
      <c r="AE1488" s="7"/>
      <c r="AF1488" s="7"/>
      <c r="AG1488" s="7"/>
      <c r="AH1488" s="7"/>
      <c r="AI1488" s="7"/>
      <c r="AJ1488" s="7"/>
      <c r="AK1488" s="7"/>
      <c r="AL1488" s="9"/>
      <c r="AM1488" s="7" t="s">
        <v>71</v>
      </c>
      <c r="AN1488" s="7" t="s">
        <v>71</v>
      </c>
      <c r="AO1488" s="12"/>
    </row>
    <row r="1489" spans="1:41" s="11" customFormat="1" x14ac:dyDescent="0.25">
      <c r="A1489" s="2">
        <v>1488</v>
      </c>
      <c r="B1489" s="7" t="s">
        <v>73</v>
      </c>
      <c r="C1489" s="7" t="s">
        <v>119</v>
      </c>
      <c r="D1489" s="7">
        <v>30</v>
      </c>
      <c r="E1489" s="7">
        <v>30</v>
      </c>
      <c r="F1489" s="8">
        <v>1</v>
      </c>
      <c r="G1489" s="8">
        <v>1</v>
      </c>
      <c r="H1489" s="7">
        <v>1</v>
      </c>
      <c r="I1489" s="7">
        <v>1</v>
      </c>
      <c r="J1489" s="9" t="s">
        <v>176</v>
      </c>
      <c r="K1489" s="7">
        <v>1</v>
      </c>
      <c r="L1489" s="7" t="s">
        <v>52</v>
      </c>
      <c r="M1489" s="7">
        <f t="shared" si="116"/>
        <v>1</v>
      </c>
      <c r="N1489" s="9" t="s">
        <v>177</v>
      </c>
      <c r="O1489" s="7">
        <v>0</v>
      </c>
      <c r="P1489" s="9" t="s">
        <v>63</v>
      </c>
      <c r="Q1489" s="9" t="s">
        <v>38</v>
      </c>
      <c r="R1489" s="9" t="s">
        <v>38</v>
      </c>
      <c r="S1489" s="13" t="s">
        <v>2233</v>
      </c>
      <c r="T1489" s="7"/>
      <c r="U1489" s="7"/>
      <c r="V1489" s="7"/>
      <c r="W1489" s="7"/>
      <c r="X1489" s="7">
        <v>3</v>
      </c>
      <c r="Y1489" s="7"/>
      <c r="Z1489" s="7"/>
      <c r="AA1489" s="7"/>
      <c r="AB1489" s="7">
        <f t="shared" si="115"/>
        <v>1</v>
      </c>
      <c r="AC1489" s="7">
        <f t="shared" si="117"/>
        <v>1</v>
      </c>
      <c r="AD1489" s="7"/>
      <c r="AE1489" s="7">
        <v>1</v>
      </c>
      <c r="AF1489" s="7" t="s">
        <v>1255</v>
      </c>
      <c r="AG1489" s="7" t="s">
        <v>1293</v>
      </c>
      <c r="AH1489" s="7"/>
      <c r="AI1489" s="7"/>
      <c r="AJ1489" s="7"/>
      <c r="AK1489" s="7"/>
      <c r="AL1489" s="9"/>
      <c r="AM1489" s="7" t="s">
        <v>71</v>
      </c>
      <c r="AN1489" s="7" t="s">
        <v>71</v>
      </c>
      <c r="AO1489" s="12"/>
    </row>
    <row r="1490" spans="1:41" s="11" customFormat="1" x14ac:dyDescent="0.25">
      <c r="A1490" s="2">
        <v>1489</v>
      </c>
      <c r="B1490" s="7" t="s">
        <v>379</v>
      </c>
      <c r="C1490" s="7" t="s">
        <v>100</v>
      </c>
      <c r="D1490" s="7">
        <v>21</v>
      </c>
      <c r="E1490" s="7">
        <v>21</v>
      </c>
      <c r="F1490" s="8">
        <v>1</v>
      </c>
      <c r="G1490" s="8">
        <v>1</v>
      </c>
      <c r="H1490" s="7">
        <v>1</v>
      </c>
      <c r="I1490" s="7">
        <v>1</v>
      </c>
      <c r="J1490" s="9" t="s">
        <v>176</v>
      </c>
      <c r="K1490" s="7">
        <v>1</v>
      </c>
      <c r="L1490" s="7" t="s">
        <v>52</v>
      </c>
      <c r="M1490" s="7">
        <f t="shared" si="116"/>
        <v>1</v>
      </c>
      <c r="N1490" s="9" t="s">
        <v>177</v>
      </c>
      <c r="O1490" s="7">
        <v>0</v>
      </c>
      <c r="P1490" s="9" t="s">
        <v>63</v>
      </c>
      <c r="Q1490" s="9" t="s">
        <v>38</v>
      </c>
      <c r="R1490" s="9" t="s">
        <v>38</v>
      </c>
      <c r="S1490" s="13" t="s">
        <v>2234</v>
      </c>
      <c r="T1490" s="7"/>
      <c r="U1490" s="7"/>
      <c r="V1490" s="7"/>
      <c r="W1490" s="7"/>
      <c r="X1490" s="7">
        <v>3</v>
      </c>
      <c r="Y1490" s="7"/>
      <c r="Z1490" s="7"/>
      <c r="AA1490" s="7"/>
      <c r="AB1490" s="7">
        <f t="shared" si="115"/>
        <v>1</v>
      </c>
      <c r="AC1490" s="7">
        <f t="shared" si="117"/>
        <v>1</v>
      </c>
      <c r="AD1490" s="7"/>
      <c r="AE1490" s="7"/>
      <c r="AF1490" s="7"/>
      <c r="AG1490" s="7"/>
      <c r="AH1490" s="7"/>
      <c r="AI1490" s="7"/>
      <c r="AJ1490" s="7"/>
      <c r="AK1490" s="7"/>
      <c r="AL1490" s="9"/>
      <c r="AM1490" s="7" t="s">
        <v>71</v>
      </c>
      <c r="AN1490" s="7" t="s">
        <v>71</v>
      </c>
      <c r="AO1490" s="12"/>
    </row>
    <row r="1491" spans="1:41" s="11" customFormat="1" ht="24" x14ac:dyDescent="0.25">
      <c r="A1491" s="2">
        <v>1490</v>
      </c>
      <c r="B1491" s="7" t="s">
        <v>655</v>
      </c>
      <c r="C1491" s="7" t="s">
        <v>78</v>
      </c>
      <c r="D1491" s="7">
        <v>24</v>
      </c>
      <c r="E1491" s="7">
        <v>24</v>
      </c>
      <c r="F1491" s="8">
        <v>1</v>
      </c>
      <c r="G1491" s="8">
        <v>1</v>
      </c>
      <c r="H1491" s="7">
        <v>1</v>
      </c>
      <c r="I1491" s="7">
        <v>1</v>
      </c>
      <c r="J1491" s="9" t="s">
        <v>176</v>
      </c>
      <c r="K1491" s="9" t="s">
        <v>33</v>
      </c>
      <c r="L1491" s="7" t="s">
        <v>52</v>
      </c>
      <c r="M1491" s="7">
        <f t="shared" si="116"/>
        <v>1</v>
      </c>
      <c r="N1491" s="9" t="s">
        <v>177</v>
      </c>
      <c r="O1491" s="7">
        <v>0</v>
      </c>
      <c r="P1491" s="9" t="s">
        <v>63</v>
      </c>
      <c r="Q1491" s="9" t="s">
        <v>38</v>
      </c>
      <c r="R1491" s="9" t="s">
        <v>38</v>
      </c>
      <c r="S1491" s="13" t="s">
        <v>2235</v>
      </c>
      <c r="T1491" s="7">
        <v>12</v>
      </c>
      <c r="U1491" s="7">
        <v>12</v>
      </c>
      <c r="V1491" s="7">
        <v>130</v>
      </c>
      <c r="W1491" s="7" t="s">
        <v>331</v>
      </c>
      <c r="X1491" s="7"/>
      <c r="Y1491" s="7"/>
      <c r="Z1491" s="7"/>
      <c r="AA1491" s="7"/>
      <c r="AB1491" s="7">
        <f t="shared" si="115"/>
        <v>4</v>
      </c>
      <c r="AC1491" s="7">
        <f t="shared" si="117"/>
        <v>4</v>
      </c>
      <c r="AD1491" s="7"/>
      <c r="AE1491" s="7"/>
      <c r="AF1491" s="7"/>
      <c r="AG1491" s="7"/>
      <c r="AH1491" s="7"/>
      <c r="AI1491" s="7"/>
      <c r="AJ1491" s="7"/>
      <c r="AK1491" s="7"/>
      <c r="AL1491" s="9"/>
      <c r="AM1491" s="7" t="s">
        <v>137</v>
      </c>
      <c r="AN1491" s="7" t="s">
        <v>2848</v>
      </c>
      <c r="AO1491" s="15"/>
    </row>
    <row r="1492" spans="1:41" s="11" customFormat="1" x14ac:dyDescent="0.25">
      <c r="A1492" s="2">
        <v>1491</v>
      </c>
      <c r="B1492" s="7" t="s">
        <v>1294</v>
      </c>
      <c r="C1492" s="7" t="s">
        <v>50</v>
      </c>
      <c r="D1492" s="7">
        <v>15</v>
      </c>
      <c r="E1492" s="7">
        <v>15</v>
      </c>
      <c r="F1492" s="8">
        <v>1</v>
      </c>
      <c r="G1492" s="9" t="s">
        <v>196</v>
      </c>
      <c r="H1492" s="7">
        <v>2</v>
      </c>
      <c r="I1492" s="7">
        <v>2</v>
      </c>
      <c r="J1492" s="9" t="s">
        <v>176</v>
      </c>
      <c r="K1492" s="9" t="s">
        <v>268</v>
      </c>
      <c r="L1492" s="7" t="s">
        <v>52</v>
      </c>
      <c r="M1492" s="7">
        <f t="shared" si="116"/>
        <v>1</v>
      </c>
      <c r="N1492" s="9" t="s">
        <v>213</v>
      </c>
      <c r="O1492" s="7">
        <v>1</v>
      </c>
      <c r="P1492" s="9" t="s">
        <v>63</v>
      </c>
      <c r="Q1492" s="9" t="s">
        <v>38</v>
      </c>
      <c r="R1492" s="9" t="s">
        <v>38</v>
      </c>
      <c r="S1492" s="13" t="s">
        <v>2236</v>
      </c>
      <c r="T1492" s="7"/>
      <c r="U1492" s="7"/>
      <c r="V1492" s="7"/>
      <c r="W1492" s="7"/>
      <c r="X1492" s="7"/>
      <c r="Y1492" s="7">
        <v>27</v>
      </c>
      <c r="Z1492" s="7">
        <v>27</v>
      </c>
      <c r="AA1492" s="7">
        <v>90</v>
      </c>
      <c r="AB1492" s="7">
        <f t="shared" si="115"/>
        <v>9</v>
      </c>
      <c r="AC1492" s="7">
        <f t="shared" si="117"/>
        <v>9</v>
      </c>
      <c r="AD1492" s="7"/>
      <c r="AE1492" s="7"/>
      <c r="AF1492" s="7"/>
      <c r="AG1492" s="7"/>
      <c r="AH1492" s="7"/>
      <c r="AI1492" s="7"/>
      <c r="AJ1492" s="7"/>
      <c r="AK1492" s="7" t="s">
        <v>1295</v>
      </c>
      <c r="AL1492" s="9"/>
      <c r="AM1492" s="7" t="s">
        <v>1296</v>
      </c>
      <c r="AN1492" s="7" t="s">
        <v>2851</v>
      </c>
      <c r="AO1492" s="12"/>
    </row>
    <row r="1493" spans="1:41" s="11" customFormat="1" x14ac:dyDescent="0.25">
      <c r="A1493" s="2">
        <v>1492</v>
      </c>
      <c r="B1493" s="7" t="s">
        <v>856</v>
      </c>
      <c r="C1493" s="7" t="s">
        <v>50</v>
      </c>
      <c r="D1493" s="7">
        <v>4</v>
      </c>
      <c r="E1493" s="7">
        <v>4</v>
      </c>
      <c r="F1493" s="8">
        <v>1</v>
      </c>
      <c r="G1493" s="8">
        <v>1</v>
      </c>
      <c r="H1493" s="7">
        <v>1</v>
      </c>
      <c r="I1493" s="7">
        <v>1</v>
      </c>
      <c r="J1493" s="9" t="s">
        <v>176</v>
      </c>
      <c r="K1493" s="9" t="s">
        <v>268</v>
      </c>
      <c r="L1493" s="7" t="s">
        <v>52</v>
      </c>
      <c r="M1493" s="7">
        <f t="shared" si="116"/>
        <v>1</v>
      </c>
      <c r="N1493" s="9" t="s">
        <v>213</v>
      </c>
      <c r="O1493" s="7">
        <v>1</v>
      </c>
      <c r="P1493" s="9" t="s">
        <v>63</v>
      </c>
      <c r="Q1493" s="9" t="s">
        <v>38</v>
      </c>
      <c r="R1493" s="9" t="s">
        <v>38</v>
      </c>
      <c r="S1493" s="13" t="s">
        <v>2236</v>
      </c>
      <c r="T1493" s="7"/>
      <c r="U1493" s="7"/>
      <c r="V1493" s="7"/>
      <c r="W1493" s="7"/>
      <c r="X1493" s="7"/>
      <c r="Y1493" s="7">
        <v>5</v>
      </c>
      <c r="Z1493" s="7">
        <v>5</v>
      </c>
      <c r="AA1493" s="7">
        <v>90</v>
      </c>
      <c r="AB1493" s="7">
        <f t="shared" si="115"/>
        <v>1.6666666666666667</v>
      </c>
      <c r="AC1493" s="7">
        <f t="shared" si="117"/>
        <v>1.6666666666666667</v>
      </c>
      <c r="AD1493" s="7"/>
      <c r="AE1493" s="7"/>
      <c r="AF1493" s="7"/>
      <c r="AG1493" s="7"/>
      <c r="AH1493" s="7"/>
      <c r="AI1493" s="7"/>
      <c r="AJ1493" s="7"/>
      <c r="AK1493" s="7" t="s">
        <v>1295</v>
      </c>
      <c r="AL1493" s="9"/>
      <c r="AM1493" s="7" t="s">
        <v>1296</v>
      </c>
      <c r="AN1493" s="7" t="s">
        <v>2851</v>
      </c>
      <c r="AO1493" s="12"/>
    </row>
    <row r="1494" spans="1:41" s="11" customFormat="1" x14ac:dyDescent="0.25">
      <c r="A1494" s="2">
        <v>1493</v>
      </c>
      <c r="B1494" s="7" t="s">
        <v>419</v>
      </c>
      <c r="C1494" s="7" t="s">
        <v>100</v>
      </c>
      <c r="D1494" s="7">
        <v>42</v>
      </c>
      <c r="E1494" s="7">
        <v>42</v>
      </c>
      <c r="F1494" s="8">
        <v>1</v>
      </c>
      <c r="G1494" s="8">
        <v>1</v>
      </c>
      <c r="H1494" s="7">
        <v>1</v>
      </c>
      <c r="I1494" s="7">
        <v>1</v>
      </c>
      <c r="J1494" s="9" t="s">
        <v>176</v>
      </c>
      <c r="K1494" s="9" t="s">
        <v>895</v>
      </c>
      <c r="L1494" s="7" t="s">
        <v>52</v>
      </c>
      <c r="M1494" s="7">
        <f t="shared" si="116"/>
        <v>1</v>
      </c>
      <c r="N1494" s="9"/>
      <c r="O1494" s="7"/>
      <c r="P1494" s="9"/>
      <c r="Q1494" s="7"/>
      <c r="R1494" s="7"/>
      <c r="S1494" s="7"/>
      <c r="T1494" s="7"/>
      <c r="U1494" s="7"/>
      <c r="V1494" s="7"/>
      <c r="W1494" s="7"/>
      <c r="X1494" s="7">
        <v>3</v>
      </c>
      <c r="Y1494" s="7"/>
      <c r="Z1494" s="7"/>
      <c r="AA1494" s="7"/>
      <c r="AB1494" s="7">
        <f t="shared" si="115"/>
        <v>1</v>
      </c>
      <c r="AC1494" s="7">
        <f t="shared" si="117"/>
        <v>1</v>
      </c>
      <c r="AD1494" s="7"/>
      <c r="AE1494" s="7"/>
      <c r="AF1494" s="7"/>
      <c r="AG1494" s="7"/>
      <c r="AH1494" s="7"/>
      <c r="AI1494" s="7"/>
      <c r="AJ1494" s="7"/>
      <c r="AK1494" s="7"/>
      <c r="AL1494" s="9"/>
      <c r="AM1494" s="7" t="s">
        <v>71</v>
      </c>
      <c r="AN1494" s="7" t="s">
        <v>71</v>
      </c>
      <c r="AO1494" s="12"/>
    </row>
    <row r="1495" spans="1:41" s="11" customFormat="1" x14ac:dyDescent="0.25">
      <c r="A1495" s="2">
        <v>1494</v>
      </c>
      <c r="B1495" s="7" t="s">
        <v>370</v>
      </c>
      <c r="C1495" s="7" t="s">
        <v>100</v>
      </c>
      <c r="D1495" s="7">
        <v>12</v>
      </c>
      <c r="E1495" s="7">
        <v>12</v>
      </c>
      <c r="F1495" s="8">
        <v>1</v>
      </c>
      <c r="G1495" s="8">
        <v>1</v>
      </c>
      <c r="H1495" s="7">
        <v>1</v>
      </c>
      <c r="I1495" s="7">
        <v>1</v>
      </c>
      <c r="J1495" s="9" t="s">
        <v>176</v>
      </c>
      <c r="K1495" s="9" t="s">
        <v>895</v>
      </c>
      <c r="L1495" s="7" t="s">
        <v>52</v>
      </c>
      <c r="M1495" s="7">
        <f t="shared" si="116"/>
        <v>1</v>
      </c>
      <c r="N1495" s="9"/>
      <c r="O1495" s="7"/>
      <c r="P1495" s="9"/>
      <c r="Q1495" s="7"/>
      <c r="R1495" s="7"/>
      <c r="S1495" s="7"/>
      <c r="T1495" s="7"/>
      <c r="U1495" s="7"/>
      <c r="V1495" s="7"/>
      <c r="W1495" s="7"/>
      <c r="X1495" s="7">
        <v>3</v>
      </c>
      <c r="Y1495" s="7"/>
      <c r="Z1495" s="7"/>
      <c r="AA1495" s="7"/>
      <c r="AB1495" s="7">
        <f t="shared" si="115"/>
        <v>1</v>
      </c>
      <c r="AC1495" s="7">
        <f t="shared" si="117"/>
        <v>1</v>
      </c>
      <c r="AD1495" s="7"/>
      <c r="AE1495" s="7"/>
      <c r="AF1495" s="7"/>
      <c r="AG1495" s="7"/>
      <c r="AH1495" s="7"/>
      <c r="AI1495" s="7"/>
      <c r="AJ1495" s="7"/>
      <c r="AK1495" s="7"/>
      <c r="AL1495" s="9"/>
      <c r="AM1495" s="7" t="s">
        <v>71</v>
      </c>
      <c r="AN1495" s="7" t="s">
        <v>71</v>
      </c>
      <c r="AO1495" s="12"/>
    </row>
    <row r="1496" spans="1:41" s="11" customFormat="1" x14ac:dyDescent="0.25">
      <c r="A1496" s="2">
        <v>1495</v>
      </c>
      <c r="B1496" s="7" t="s">
        <v>1297</v>
      </c>
      <c r="C1496" s="7" t="s">
        <v>89</v>
      </c>
      <c r="D1496" s="7" t="s">
        <v>1298</v>
      </c>
      <c r="E1496" s="7">
        <v>64</v>
      </c>
      <c r="F1496" s="8">
        <v>1</v>
      </c>
      <c r="G1496" s="9" t="s">
        <v>124</v>
      </c>
      <c r="H1496" s="7">
        <v>4</v>
      </c>
      <c r="I1496" s="7">
        <v>4</v>
      </c>
      <c r="J1496" s="9" t="s">
        <v>176</v>
      </c>
      <c r="K1496" s="7">
        <v>2</v>
      </c>
      <c r="L1496" s="7" t="s">
        <v>52</v>
      </c>
      <c r="M1496" s="7">
        <f t="shared" si="116"/>
        <v>1</v>
      </c>
      <c r="N1496" s="9" t="s">
        <v>177</v>
      </c>
      <c r="O1496" s="7">
        <v>1</v>
      </c>
      <c r="P1496" s="9" t="s">
        <v>63</v>
      </c>
      <c r="Q1496" s="9" t="s">
        <v>38</v>
      </c>
      <c r="R1496" s="9" t="s">
        <v>38</v>
      </c>
      <c r="S1496" s="9" t="s">
        <v>1299</v>
      </c>
      <c r="T1496" s="7"/>
      <c r="U1496" s="7"/>
      <c r="V1496" s="7"/>
      <c r="W1496" s="7"/>
      <c r="X1496" s="7">
        <v>3</v>
      </c>
      <c r="Y1496" s="7">
        <v>20</v>
      </c>
      <c r="Z1496" s="7">
        <v>20</v>
      </c>
      <c r="AA1496" s="7">
        <v>105</v>
      </c>
      <c r="AB1496" s="7">
        <f t="shared" si="115"/>
        <v>7.666666666666667</v>
      </c>
      <c r="AC1496" s="7">
        <f t="shared" si="117"/>
        <v>7.666666666666667</v>
      </c>
      <c r="AD1496" s="7"/>
      <c r="AE1496" s="7"/>
      <c r="AF1496" s="7"/>
      <c r="AG1496" s="7"/>
      <c r="AH1496" s="7"/>
      <c r="AI1496" s="7"/>
      <c r="AJ1496" s="7"/>
      <c r="AK1496" s="7"/>
      <c r="AL1496" s="9"/>
      <c r="AM1496" s="7" t="s">
        <v>71</v>
      </c>
      <c r="AN1496" s="7" t="s">
        <v>71</v>
      </c>
      <c r="AO1496" s="12"/>
    </row>
    <row r="1497" spans="1:41" s="11" customFormat="1" ht="36" x14ac:dyDescent="0.25">
      <c r="A1497" s="2">
        <v>1496</v>
      </c>
      <c r="B1497" s="7" t="s">
        <v>1301</v>
      </c>
      <c r="C1497" s="7" t="s">
        <v>78</v>
      </c>
      <c r="D1497" s="7">
        <v>44</v>
      </c>
      <c r="E1497" s="7">
        <v>44</v>
      </c>
      <c r="F1497" s="8">
        <v>1</v>
      </c>
      <c r="G1497" s="8">
        <v>1</v>
      </c>
      <c r="H1497" s="7">
        <v>1</v>
      </c>
      <c r="I1497" s="7">
        <v>1</v>
      </c>
      <c r="J1497" s="9" t="s">
        <v>35</v>
      </c>
      <c r="K1497" s="7">
        <v>2</v>
      </c>
      <c r="L1497" s="7" t="s">
        <v>52</v>
      </c>
      <c r="M1497" s="7">
        <f t="shared" si="116"/>
        <v>1</v>
      </c>
      <c r="N1497" s="9" t="s">
        <v>34</v>
      </c>
      <c r="O1497" s="7">
        <v>2</v>
      </c>
      <c r="P1497" s="9" t="s">
        <v>37</v>
      </c>
      <c r="Q1497" s="9" t="s">
        <v>38</v>
      </c>
      <c r="R1497" s="9" t="s">
        <v>38</v>
      </c>
      <c r="S1497" s="13" t="s">
        <v>2237</v>
      </c>
      <c r="T1497" s="7">
        <v>10</v>
      </c>
      <c r="U1497" s="7">
        <v>10</v>
      </c>
      <c r="V1497" s="7">
        <v>200</v>
      </c>
      <c r="W1497" s="7" t="s">
        <v>1302</v>
      </c>
      <c r="X1497" s="7"/>
      <c r="Y1497" s="7"/>
      <c r="Z1497" s="7"/>
      <c r="AA1497" s="7"/>
      <c r="AB1497" s="7">
        <f t="shared" si="115"/>
        <v>3.3333333333333335</v>
      </c>
      <c r="AC1497" s="7">
        <f t="shared" si="117"/>
        <v>3.3333333333333335</v>
      </c>
      <c r="AD1497" s="7"/>
      <c r="AE1497" s="7">
        <v>1</v>
      </c>
      <c r="AF1497" s="7"/>
      <c r="AG1497" s="7" t="s">
        <v>1303</v>
      </c>
      <c r="AH1497" s="7"/>
      <c r="AI1497" s="7"/>
      <c r="AJ1497" s="7"/>
      <c r="AK1497" s="7"/>
      <c r="AL1497" s="9"/>
      <c r="AM1497" s="7" t="s">
        <v>1304</v>
      </c>
      <c r="AN1497" s="7" t="s">
        <v>2848</v>
      </c>
      <c r="AO1497" s="12"/>
    </row>
    <row r="1498" spans="1:41" s="11" customFormat="1" x14ac:dyDescent="0.25">
      <c r="A1498" s="2">
        <v>1497</v>
      </c>
      <c r="B1498" s="7" t="s">
        <v>1301</v>
      </c>
      <c r="C1498" s="7" t="s">
        <v>50</v>
      </c>
      <c r="D1498" s="7">
        <v>29</v>
      </c>
      <c r="E1498" s="7">
        <v>29</v>
      </c>
      <c r="F1498" s="8">
        <v>1</v>
      </c>
      <c r="G1498" s="8">
        <v>1</v>
      </c>
      <c r="H1498" s="7">
        <v>1</v>
      </c>
      <c r="I1498" s="7">
        <v>1</v>
      </c>
      <c r="J1498" s="9" t="s">
        <v>77</v>
      </c>
      <c r="K1498" s="7">
        <v>1</v>
      </c>
      <c r="L1498" s="7" t="s">
        <v>52</v>
      </c>
      <c r="M1498" s="7">
        <f t="shared" si="116"/>
        <v>1</v>
      </c>
      <c r="N1498" s="9" t="s">
        <v>82</v>
      </c>
      <c r="O1498" s="7">
        <v>0</v>
      </c>
      <c r="P1498" s="9" t="s">
        <v>34</v>
      </c>
      <c r="Q1498" s="9" t="s">
        <v>38</v>
      </c>
      <c r="R1498" s="9" t="s">
        <v>38</v>
      </c>
      <c r="S1498" s="13" t="s">
        <v>2238</v>
      </c>
      <c r="T1498" s="7"/>
      <c r="U1498" s="7"/>
      <c r="V1498" s="7"/>
      <c r="W1498" s="7"/>
      <c r="X1498" s="7">
        <v>3</v>
      </c>
      <c r="Y1498" s="7">
        <v>30</v>
      </c>
      <c r="Z1498" s="7">
        <v>30</v>
      </c>
      <c r="AA1498" s="7">
        <v>50</v>
      </c>
      <c r="AB1498" s="7">
        <f t="shared" si="115"/>
        <v>11</v>
      </c>
      <c r="AC1498" s="7">
        <f t="shared" si="117"/>
        <v>11</v>
      </c>
      <c r="AD1498" s="7"/>
      <c r="AE1498" s="7" t="s">
        <v>55</v>
      </c>
      <c r="AF1498" s="7"/>
      <c r="AG1498" s="7" t="s">
        <v>1305</v>
      </c>
      <c r="AH1498" s="7"/>
      <c r="AI1498" s="7"/>
      <c r="AJ1498" s="7"/>
      <c r="AK1498" s="7"/>
      <c r="AL1498" s="9"/>
      <c r="AM1498" s="7" t="s">
        <v>42</v>
      </c>
      <c r="AN1498" s="7" t="s">
        <v>42</v>
      </c>
      <c r="AO1498" s="15" t="s">
        <v>2591</v>
      </c>
    </row>
    <row r="1499" spans="1:41" s="11" customFormat="1" ht="24" x14ac:dyDescent="0.25">
      <c r="A1499" s="2">
        <v>1498</v>
      </c>
      <c r="B1499" s="7" t="s">
        <v>1301</v>
      </c>
      <c r="C1499" s="7" t="s">
        <v>78</v>
      </c>
      <c r="D1499" s="7">
        <v>4</v>
      </c>
      <c r="E1499" s="7">
        <v>4</v>
      </c>
      <c r="F1499" s="8">
        <v>1</v>
      </c>
      <c r="G1499" s="8">
        <v>1</v>
      </c>
      <c r="H1499" s="7">
        <v>1</v>
      </c>
      <c r="I1499" s="7">
        <v>1</v>
      </c>
      <c r="J1499" s="9" t="s">
        <v>35</v>
      </c>
      <c r="K1499" s="7">
        <v>1</v>
      </c>
      <c r="L1499" s="7" t="s">
        <v>52</v>
      </c>
      <c r="M1499" s="7">
        <f t="shared" si="116"/>
        <v>1</v>
      </c>
      <c r="N1499" s="9" t="s">
        <v>36</v>
      </c>
      <c r="O1499" s="7">
        <v>0</v>
      </c>
      <c r="P1499" s="9" t="s">
        <v>37</v>
      </c>
      <c r="Q1499" s="9" t="s">
        <v>38</v>
      </c>
      <c r="R1499" s="9" t="s">
        <v>38</v>
      </c>
      <c r="S1499" s="13" t="s">
        <v>2239</v>
      </c>
      <c r="T1499" s="7">
        <v>5</v>
      </c>
      <c r="U1499" s="7">
        <v>5</v>
      </c>
      <c r="V1499" s="7">
        <v>130</v>
      </c>
      <c r="W1499" s="7" t="s">
        <v>83</v>
      </c>
      <c r="X1499" s="7"/>
      <c r="Y1499" s="7"/>
      <c r="Z1499" s="7"/>
      <c r="AA1499" s="7"/>
      <c r="AB1499" s="7">
        <f t="shared" si="115"/>
        <v>1.6666666666666667</v>
      </c>
      <c r="AC1499" s="7">
        <f t="shared" si="117"/>
        <v>1.6666666666666667</v>
      </c>
      <c r="AD1499" s="7"/>
      <c r="AE1499" s="7"/>
      <c r="AF1499" s="7"/>
      <c r="AG1499" s="7"/>
      <c r="AH1499" s="7"/>
      <c r="AI1499" s="7"/>
      <c r="AJ1499" s="7"/>
      <c r="AK1499" s="7"/>
      <c r="AL1499" s="9"/>
      <c r="AM1499" s="7" t="s">
        <v>71</v>
      </c>
      <c r="AN1499" s="7" t="s">
        <v>71</v>
      </c>
      <c r="AO1499" s="12"/>
    </row>
    <row r="1500" spans="1:41" s="11" customFormat="1" x14ac:dyDescent="0.25">
      <c r="A1500" s="2">
        <v>1499</v>
      </c>
      <c r="B1500" s="7" t="s">
        <v>1301</v>
      </c>
      <c r="C1500" s="7" t="s">
        <v>100</v>
      </c>
      <c r="D1500" s="7">
        <v>10</v>
      </c>
      <c r="E1500" s="7">
        <v>10</v>
      </c>
      <c r="F1500" s="8">
        <v>1</v>
      </c>
      <c r="G1500" s="8">
        <v>1</v>
      </c>
      <c r="H1500" s="7">
        <v>1</v>
      </c>
      <c r="I1500" s="7">
        <v>1</v>
      </c>
      <c r="J1500" s="9" t="s">
        <v>35</v>
      </c>
      <c r="K1500" s="7">
        <v>1</v>
      </c>
      <c r="L1500" s="7" t="s">
        <v>52</v>
      </c>
      <c r="M1500" s="7">
        <f t="shared" si="116"/>
        <v>1</v>
      </c>
      <c r="N1500" s="9"/>
      <c r="O1500" s="7"/>
      <c r="P1500" s="9"/>
      <c r="Q1500" s="7"/>
      <c r="R1500" s="7"/>
      <c r="S1500" s="7"/>
      <c r="T1500" s="7"/>
      <c r="U1500" s="7"/>
      <c r="V1500" s="7"/>
      <c r="W1500" s="7"/>
      <c r="X1500" s="7">
        <v>3</v>
      </c>
      <c r="Y1500" s="7"/>
      <c r="Z1500" s="7"/>
      <c r="AA1500" s="7"/>
      <c r="AB1500" s="7">
        <f t="shared" si="115"/>
        <v>1</v>
      </c>
      <c r="AC1500" s="7">
        <f t="shared" si="117"/>
        <v>1</v>
      </c>
      <c r="AD1500" s="7"/>
      <c r="AE1500" s="7"/>
      <c r="AF1500" s="7"/>
      <c r="AG1500" s="7"/>
      <c r="AH1500" s="7"/>
      <c r="AI1500" s="7"/>
      <c r="AJ1500" s="7"/>
      <c r="AK1500" s="7"/>
      <c r="AL1500" s="9"/>
      <c r="AM1500" s="7" t="s">
        <v>71</v>
      </c>
      <c r="AN1500" s="7" t="s">
        <v>71</v>
      </c>
      <c r="AO1500" s="12"/>
    </row>
    <row r="1501" spans="1:41" s="11" customFormat="1" x14ac:dyDescent="0.25">
      <c r="A1501" s="2">
        <v>1500</v>
      </c>
      <c r="B1501" s="7" t="s">
        <v>1301</v>
      </c>
      <c r="C1501" s="7" t="s">
        <v>89</v>
      </c>
      <c r="D1501" s="7" t="s">
        <v>196</v>
      </c>
      <c r="E1501" s="7">
        <v>2</v>
      </c>
      <c r="F1501" s="8">
        <v>1</v>
      </c>
      <c r="G1501" s="8">
        <v>2</v>
      </c>
      <c r="H1501" s="7">
        <v>2</v>
      </c>
      <c r="I1501" s="7">
        <v>2</v>
      </c>
      <c r="J1501" s="9" t="s">
        <v>35</v>
      </c>
      <c r="K1501" s="7">
        <v>2</v>
      </c>
      <c r="L1501" s="7" t="s">
        <v>52</v>
      </c>
      <c r="M1501" s="7">
        <f t="shared" si="116"/>
        <v>1</v>
      </c>
      <c r="N1501" s="9"/>
      <c r="O1501" s="7"/>
      <c r="P1501" s="9"/>
      <c r="Q1501" s="7"/>
      <c r="R1501" s="7"/>
      <c r="S1501" s="7"/>
      <c r="T1501" s="7"/>
      <c r="U1501" s="7"/>
      <c r="V1501" s="7"/>
      <c r="W1501" s="7"/>
      <c r="X1501" s="7">
        <v>3</v>
      </c>
      <c r="Y1501" s="7"/>
      <c r="Z1501" s="7"/>
      <c r="AA1501" s="7"/>
      <c r="AB1501" s="7">
        <f t="shared" si="115"/>
        <v>1</v>
      </c>
      <c r="AC1501" s="7">
        <f t="shared" si="117"/>
        <v>1</v>
      </c>
      <c r="AD1501" s="7"/>
      <c r="AE1501" s="7"/>
      <c r="AF1501" s="7"/>
      <c r="AG1501" s="7"/>
      <c r="AH1501" s="7"/>
      <c r="AI1501" s="7"/>
      <c r="AJ1501" s="7"/>
      <c r="AK1501" s="7"/>
      <c r="AL1501" s="9"/>
      <c r="AM1501" s="7" t="s">
        <v>71</v>
      </c>
      <c r="AN1501" s="7" t="s">
        <v>71</v>
      </c>
      <c r="AO1501" s="12"/>
    </row>
    <row r="1502" spans="1:41" s="11" customFormat="1" x14ac:dyDescent="0.25">
      <c r="A1502" s="2">
        <v>1501</v>
      </c>
      <c r="B1502" s="7" t="s">
        <v>1306</v>
      </c>
      <c r="C1502" s="7" t="s">
        <v>50</v>
      </c>
      <c r="D1502" s="7">
        <v>14</v>
      </c>
      <c r="E1502" s="7">
        <v>14</v>
      </c>
      <c r="F1502" s="8">
        <v>1</v>
      </c>
      <c r="G1502" s="8">
        <v>1</v>
      </c>
      <c r="H1502" s="7">
        <v>1</v>
      </c>
      <c r="I1502" s="7">
        <v>1</v>
      </c>
      <c r="J1502" s="9" t="s">
        <v>77</v>
      </c>
      <c r="K1502" s="7">
        <v>1</v>
      </c>
      <c r="L1502" s="7" t="s">
        <v>52</v>
      </c>
      <c r="M1502" s="7">
        <f t="shared" si="116"/>
        <v>1</v>
      </c>
      <c r="N1502" s="9" t="s">
        <v>34</v>
      </c>
      <c r="O1502" s="7">
        <v>0</v>
      </c>
      <c r="P1502" s="9" t="s">
        <v>34</v>
      </c>
      <c r="Q1502" s="9" t="s">
        <v>38</v>
      </c>
      <c r="R1502" s="9" t="s">
        <v>38</v>
      </c>
      <c r="S1502" s="13" t="s">
        <v>2240</v>
      </c>
      <c r="T1502" s="7"/>
      <c r="U1502" s="7"/>
      <c r="V1502" s="7"/>
      <c r="W1502" s="7"/>
      <c r="X1502" s="7"/>
      <c r="Y1502" s="7">
        <v>22</v>
      </c>
      <c r="Z1502" s="7">
        <v>22</v>
      </c>
      <c r="AA1502" s="7">
        <v>50</v>
      </c>
      <c r="AB1502" s="7">
        <f t="shared" si="115"/>
        <v>7.333333333333333</v>
      </c>
      <c r="AC1502" s="7">
        <f t="shared" si="117"/>
        <v>7.333333333333333</v>
      </c>
      <c r="AD1502" s="7"/>
      <c r="AE1502" s="7"/>
      <c r="AF1502" s="7"/>
      <c r="AG1502" s="7"/>
      <c r="AH1502" s="7"/>
      <c r="AI1502" s="7"/>
      <c r="AJ1502" s="7"/>
      <c r="AK1502" s="7"/>
      <c r="AL1502" s="9"/>
      <c r="AM1502" s="7" t="s">
        <v>42</v>
      </c>
      <c r="AN1502" s="7" t="s">
        <v>42</v>
      </c>
      <c r="AO1502" s="12"/>
    </row>
    <row r="1503" spans="1:41" s="11" customFormat="1" x14ac:dyDescent="0.25">
      <c r="A1503" s="2">
        <v>1502</v>
      </c>
      <c r="B1503" s="7" t="s">
        <v>1306</v>
      </c>
      <c r="C1503" s="7" t="s">
        <v>89</v>
      </c>
      <c r="D1503" s="7" t="s">
        <v>1307</v>
      </c>
      <c r="E1503" s="7">
        <v>20</v>
      </c>
      <c r="F1503" s="8">
        <v>2</v>
      </c>
      <c r="G1503" s="8">
        <v>3</v>
      </c>
      <c r="H1503" s="7" t="s">
        <v>97</v>
      </c>
      <c r="I1503" s="7">
        <v>3</v>
      </c>
      <c r="J1503" s="9" t="s">
        <v>77</v>
      </c>
      <c r="K1503" s="7">
        <v>1</v>
      </c>
      <c r="L1503" s="7" t="s">
        <v>38</v>
      </c>
      <c r="M1503" s="7">
        <f t="shared" si="116"/>
        <v>0</v>
      </c>
      <c r="N1503" s="9"/>
      <c r="O1503" s="7"/>
      <c r="P1503" s="9"/>
      <c r="Q1503" s="7"/>
      <c r="R1503" s="7"/>
      <c r="S1503" s="7"/>
      <c r="T1503" s="7"/>
      <c r="U1503" s="7"/>
      <c r="V1503" s="7"/>
      <c r="W1503" s="7"/>
      <c r="X1503" s="7">
        <v>3</v>
      </c>
      <c r="Y1503" s="7"/>
      <c r="Z1503" s="7"/>
      <c r="AA1503" s="7"/>
      <c r="AB1503" s="7">
        <f t="shared" si="115"/>
        <v>1</v>
      </c>
      <c r="AC1503" s="7">
        <f t="shared" si="117"/>
        <v>0</v>
      </c>
      <c r="AD1503" s="7"/>
      <c r="AE1503" s="7"/>
      <c r="AF1503" s="7"/>
      <c r="AG1503" s="7"/>
      <c r="AH1503" s="7"/>
      <c r="AI1503" s="7"/>
      <c r="AJ1503" s="7"/>
      <c r="AK1503" s="7"/>
      <c r="AL1503" s="9"/>
      <c r="AM1503" s="7" t="s">
        <v>71</v>
      </c>
      <c r="AN1503" s="7" t="s">
        <v>71</v>
      </c>
      <c r="AO1503" s="12"/>
    </row>
    <row r="1504" spans="1:41" s="11" customFormat="1" ht="24" x14ac:dyDescent="0.25">
      <c r="A1504" s="2">
        <v>1503</v>
      </c>
      <c r="B1504" s="7" t="s">
        <v>1306</v>
      </c>
      <c r="C1504" s="7" t="s">
        <v>78</v>
      </c>
      <c r="D1504" s="7">
        <v>4</v>
      </c>
      <c r="E1504" s="7">
        <v>4</v>
      </c>
      <c r="F1504" s="8">
        <v>1</v>
      </c>
      <c r="G1504" s="8">
        <v>1</v>
      </c>
      <c r="H1504" s="7">
        <v>1</v>
      </c>
      <c r="I1504" s="7">
        <v>1</v>
      </c>
      <c r="J1504" s="9" t="s">
        <v>70</v>
      </c>
      <c r="K1504" s="7">
        <v>1</v>
      </c>
      <c r="L1504" s="7" t="s">
        <v>52</v>
      </c>
      <c r="M1504" s="7">
        <f t="shared" si="116"/>
        <v>1</v>
      </c>
      <c r="N1504" s="9" t="s">
        <v>36</v>
      </c>
      <c r="O1504" s="7">
        <v>0</v>
      </c>
      <c r="P1504" s="9" t="s">
        <v>37</v>
      </c>
      <c r="Q1504" s="7" t="s">
        <v>38</v>
      </c>
      <c r="R1504" s="7" t="s">
        <v>38</v>
      </c>
      <c r="S1504" s="7" t="s">
        <v>438</v>
      </c>
      <c r="T1504" s="7">
        <v>9</v>
      </c>
      <c r="U1504" s="7">
        <v>9</v>
      </c>
      <c r="V1504" s="7">
        <v>90</v>
      </c>
      <c r="W1504" s="7" t="s">
        <v>83</v>
      </c>
      <c r="X1504" s="7"/>
      <c r="Y1504" s="7"/>
      <c r="Z1504" s="7"/>
      <c r="AA1504" s="7"/>
      <c r="AB1504" s="7">
        <f t="shared" si="115"/>
        <v>3</v>
      </c>
      <c r="AC1504" s="7">
        <f t="shared" si="117"/>
        <v>3</v>
      </c>
      <c r="AD1504" s="7"/>
      <c r="AE1504" s="7"/>
      <c r="AF1504" s="7"/>
      <c r="AG1504" s="7"/>
      <c r="AH1504" s="7"/>
      <c r="AI1504" s="7"/>
      <c r="AJ1504" s="7"/>
      <c r="AK1504" s="7" t="s">
        <v>252</v>
      </c>
      <c r="AL1504" s="9"/>
      <c r="AM1504" s="7" t="s">
        <v>71</v>
      </c>
      <c r="AN1504" s="7" t="s">
        <v>71</v>
      </c>
      <c r="AO1504" s="12"/>
    </row>
    <row r="1505" spans="1:41" s="11" customFormat="1" x14ac:dyDescent="0.25">
      <c r="A1505" s="2">
        <v>1504</v>
      </c>
      <c r="B1505" s="7" t="s">
        <v>1306</v>
      </c>
      <c r="C1505" s="7" t="s">
        <v>78</v>
      </c>
      <c r="D1505" s="7">
        <v>3</v>
      </c>
      <c r="E1505" s="7">
        <v>3</v>
      </c>
      <c r="F1505" s="8">
        <v>1</v>
      </c>
      <c r="G1505" s="8">
        <v>1</v>
      </c>
      <c r="H1505" s="7">
        <v>1</v>
      </c>
      <c r="I1505" s="7">
        <v>1</v>
      </c>
      <c r="J1505" s="9" t="s">
        <v>35</v>
      </c>
      <c r="K1505" s="7">
        <v>1</v>
      </c>
      <c r="L1505" s="7" t="s">
        <v>52</v>
      </c>
      <c r="M1505" s="7">
        <f t="shared" si="116"/>
        <v>1</v>
      </c>
      <c r="N1505" s="9" t="s">
        <v>34</v>
      </c>
      <c r="O1505" s="7">
        <v>1</v>
      </c>
      <c r="P1505" s="9" t="s">
        <v>34</v>
      </c>
      <c r="Q1505" s="7" t="s">
        <v>38</v>
      </c>
      <c r="R1505" s="7" t="s">
        <v>38</v>
      </c>
      <c r="S1505" s="10" t="s">
        <v>1753</v>
      </c>
      <c r="T1505" s="7">
        <v>5</v>
      </c>
      <c r="U1505" s="7">
        <v>5</v>
      </c>
      <c r="V1505" s="7">
        <v>70</v>
      </c>
      <c r="W1505" s="7" t="s">
        <v>88</v>
      </c>
      <c r="X1505" s="7"/>
      <c r="Y1505" s="7"/>
      <c r="Z1505" s="7"/>
      <c r="AA1505" s="7"/>
      <c r="AB1505" s="7">
        <f t="shared" si="115"/>
        <v>1.6666666666666667</v>
      </c>
      <c r="AC1505" s="7">
        <f t="shared" si="117"/>
        <v>1.6666666666666667</v>
      </c>
      <c r="AD1505" s="7"/>
      <c r="AE1505" s="7"/>
      <c r="AF1505" s="7"/>
      <c r="AG1505" s="7"/>
      <c r="AH1505" s="7"/>
      <c r="AI1505" s="7"/>
      <c r="AJ1505" s="7"/>
      <c r="AK1505" s="7" t="s">
        <v>252</v>
      </c>
      <c r="AL1505" s="9"/>
      <c r="AM1505" s="7" t="s">
        <v>42</v>
      </c>
      <c r="AN1505" s="7" t="s">
        <v>42</v>
      </c>
      <c r="AO1505" s="12"/>
    </row>
    <row r="1506" spans="1:41" s="11" customFormat="1" ht="60" x14ac:dyDescent="0.25">
      <c r="A1506" s="2">
        <v>1505</v>
      </c>
      <c r="B1506" s="7" t="s">
        <v>1306</v>
      </c>
      <c r="C1506" s="7" t="s">
        <v>78</v>
      </c>
      <c r="D1506" s="7">
        <v>10</v>
      </c>
      <c r="E1506" s="7">
        <v>10</v>
      </c>
      <c r="F1506" s="8">
        <v>1</v>
      </c>
      <c r="G1506" s="8">
        <v>1</v>
      </c>
      <c r="H1506" s="7">
        <v>1</v>
      </c>
      <c r="I1506" s="7">
        <v>1</v>
      </c>
      <c r="J1506" s="9" t="s">
        <v>35</v>
      </c>
      <c r="K1506" s="7">
        <v>2</v>
      </c>
      <c r="L1506" s="7" t="s">
        <v>52</v>
      </c>
      <c r="M1506" s="7">
        <f t="shared" si="116"/>
        <v>1</v>
      </c>
      <c r="N1506" s="9" t="s">
        <v>34</v>
      </c>
      <c r="O1506" s="7">
        <v>0</v>
      </c>
      <c r="P1506" s="9" t="s">
        <v>34</v>
      </c>
      <c r="Q1506" s="7" t="s">
        <v>38</v>
      </c>
      <c r="R1506" s="7" t="s">
        <v>38</v>
      </c>
      <c r="S1506" s="10" t="s">
        <v>500</v>
      </c>
      <c r="T1506" s="7">
        <v>5</v>
      </c>
      <c r="U1506" s="7">
        <v>5</v>
      </c>
      <c r="V1506" s="7">
        <v>170</v>
      </c>
      <c r="W1506" s="7" t="s">
        <v>1308</v>
      </c>
      <c r="X1506" s="7"/>
      <c r="Y1506" s="7"/>
      <c r="Z1506" s="7"/>
      <c r="AA1506" s="7"/>
      <c r="AB1506" s="7">
        <f t="shared" si="115"/>
        <v>1.6666666666666667</v>
      </c>
      <c r="AC1506" s="7">
        <f t="shared" si="117"/>
        <v>1.6666666666666667</v>
      </c>
      <c r="AD1506" s="7"/>
      <c r="AE1506" s="7"/>
      <c r="AF1506" s="7"/>
      <c r="AG1506" s="7"/>
      <c r="AH1506" s="7"/>
      <c r="AI1506" s="7"/>
      <c r="AJ1506" s="7"/>
      <c r="AK1506" s="7"/>
      <c r="AL1506" s="9"/>
      <c r="AM1506" s="7" t="s">
        <v>1309</v>
      </c>
      <c r="AN1506" s="7" t="s">
        <v>2848</v>
      </c>
      <c r="AO1506" s="12"/>
    </row>
    <row r="1507" spans="1:41" s="11" customFormat="1" x14ac:dyDescent="0.25">
      <c r="A1507" s="2">
        <v>1506</v>
      </c>
      <c r="B1507" s="7" t="s">
        <v>1306</v>
      </c>
      <c r="C1507" s="7" t="s">
        <v>100</v>
      </c>
      <c r="D1507" s="7">
        <v>4</v>
      </c>
      <c r="E1507" s="7">
        <v>4</v>
      </c>
      <c r="F1507" s="8">
        <v>1</v>
      </c>
      <c r="G1507" s="8">
        <v>1</v>
      </c>
      <c r="H1507" s="7">
        <v>1</v>
      </c>
      <c r="I1507" s="7">
        <v>1</v>
      </c>
      <c r="J1507" s="9" t="s">
        <v>35</v>
      </c>
      <c r="K1507" s="7">
        <v>1</v>
      </c>
      <c r="L1507" s="7" t="s">
        <v>52</v>
      </c>
      <c r="M1507" s="7">
        <f t="shared" si="116"/>
        <v>1</v>
      </c>
      <c r="N1507" s="9"/>
      <c r="O1507" s="7"/>
      <c r="P1507" s="9"/>
      <c r="Q1507" s="7"/>
      <c r="R1507" s="7"/>
      <c r="S1507" s="7"/>
      <c r="T1507" s="7"/>
      <c r="U1507" s="7"/>
      <c r="V1507" s="7"/>
      <c r="W1507" s="7"/>
      <c r="X1507" s="7">
        <v>3</v>
      </c>
      <c r="Y1507" s="7"/>
      <c r="Z1507" s="7"/>
      <c r="AA1507" s="7"/>
      <c r="AB1507" s="7">
        <f t="shared" si="115"/>
        <v>1</v>
      </c>
      <c r="AC1507" s="7">
        <f t="shared" si="117"/>
        <v>1</v>
      </c>
      <c r="AD1507" s="7"/>
      <c r="AE1507" s="7"/>
      <c r="AF1507" s="7"/>
      <c r="AG1507" s="7"/>
      <c r="AH1507" s="7"/>
      <c r="AI1507" s="7"/>
      <c r="AJ1507" s="7"/>
      <c r="AK1507" s="7"/>
      <c r="AL1507" s="9"/>
      <c r="AM1507" s="7" t="s">
        <v>71</v>
      </c>
      <c r="AN1507" s="7" t="s">
        <v>71</v>
      </c>
      <c r="AO1507" s="12"/>
    </row>
    <row r="1508" spans="1:41" s="11" customFormat="1" x14ac:dyDescent="0.25">
      <c r="A1508" s="2">
        <v>1507</v>
      </c>
      <c r="B1508" s="7" t="s">
        <v>1306</v>
      </c>
      <c r="C1508" s="7" t="s">
        <v>89</v>
      </c>
      <c r="D1508" s="7" t="s">
        <v>1310</v>
      </c>
      <c r="E1508" s="7">
        <f>9+9+3</f>
        <v>21</v>
      </c>
      <c r="F1508" s="8">
        <v>7</v>
      </c>
      <c r="G1508" s="8">
        <v>7</v>
      </c>
      <c r="H1508" s="7" t="s">
        <v>122</v>
      </c>
      <c r="I1508" s="7">
        <v>7</v>
      </c>
      <c r="J1508" s="9" t="s">
        <v>35</v>
      </c>
      <c r="K1508" s="7">
        <v>2</v>
      </c>
      <c r="L1508" s="7" t="s">
        <v>52</v>
      </c>
      <c r="M1508" s="7">
        <f t="shared" si="116"/>
        <v>7</v>
      </c>
      <c r="N1508" s="9"/>
      <c r="O1508" s="7"/>
      <c r="P1508" s="9"/>
      <c r="Q1508" s="7"/>
      <c r="R1508" s="7"/>
      <c r="S1508" s="7"/>
      <c r="T1508" s="7"/>
      <c r="U1508" s="7"/>
      <c r="V1508" s="7"/>
      <c r="W1508" s="7"/>
      <c r="X1508" s="7">
        <v>3</v>
      </c>
      <c r="Y1508" s="7"/>
      <c r="Z1508" s="7"/>
      <c r="AA1508" s="7"/>
      <c r="AB1508" s="7">
        <f t="shared" si="115"/>
        <v>1</v>
      </c>
      <c r="AC1508" s="7">
        <f t="shared" si="117"/>
        <v>1</v>
      </c>
      <c r="AD1508" s="7"/>
      <c r="AE1508" s="7"/>
      <c r="AF1508" s="7"/>
      <c r="AG1508" s="7"/>
      <c r="AH1508" s="7"/>
      <c r="AI1508" s="7"/>
      <c r="AJ1508" s="7"/>
      <c r="AK1508" s="7"/>
      <c r="AL1508" s="9"/>
      <c r="AM1508" s="7" t="s">
        <v>71</v>
      </c>
      <c r="AN1508" s="7" t="s">
        <v>71</v>
      </c>
      <c r="AO1508" s="12"/>
    </row>
    <row r="1509" spans="1:41" s="11" customFormat="1" x14ac:dyDescent="0.25">
      <c r="A1509" s="2">
        <v>1508</v>
      </c>
      <c r="B1509" s="7" t="s">
        <v>1306</v>
      </c>
      <c r="C1509" s="7" t="s">
        <v>100</v>
      </c>
      <c r="D1509" s="7">
        <v>2</v>
      </c>
      <c r="E1509" s="7">
        <v>2</v>
      </c>
      <c r="F1509" s="8">
        <v>1</v>
      </c>
      <c r="G1509" s="8">
        <v>1</v>
      </c>
      <c r="H1509" s="7">
        <v>1</v>
      </c>
      <c r="I1509" s="7">
        <v>1</v>
      </c>
      <c r="J1509" s="9" t="s">
        <v>176</v>
      </c>
      <c r="K1509" s="7">
        <v>1</v>
      </c>
      <c r="L1509" s="7" t="s">
        <v>52</v>
      </c>
      <c r="M1509" s="7">
        <f t="shared" si="116"/>
        <v>1</v>
      </c>
      <c r="N1509" s="9"/>
      <c r="O1509" s="7"/>
      <c r="P1509" s="9"/>
      <c r="Q1509" s="7"/>
      <c r="R1509" s="7"/>
      <c r="S1509" s="7"/>
      <c r="T1509" s="7"/>
      <c r="U1509" s="7"/>
      <c r="V1509" s="7"/>
      <c r="W1509" s="7"/>
      <c r="X1509" s="7">
        <v>3</v>
      </c>
      <c r="Y1509" s="7"/>
      <c r="Z1509" s="7"/>
      <c r="AA1509" s="7"/>
      <c r="AB1509" s="7">
        <f t="shared" si="115"/>
        <v>1</v>
      </c>
      <c r="AC1509" s="7">
        <f t="shared" si="117"/>
        <v>1</v>
      </c>
      <c r="AD1509" s="7"/>
      <c r="AE1509" s="7"/>
      <c r="AF1509" s="7"/>
      <c r="AG1509" s="7"/>
      <c r="AH1509" s="7"/>
      <c r="AI1509" s="7"/>
      <c r="AJ1509" s="7"/>
      <c r="AK1509" s="7"/>
      <c r="AL1509" s="9"/>
      <c r="AM1509" s="7" t="s">
        <v>71</v>
      </c>
      <c r="AN1509" s="7" t="s">
        <v>71</v>
      </c>
      <c r="AO1509" s="12"/>
    </row>
    <row r="1510" spans="1:41" s="11" customFormat="1" x14ac:dyDescent="0.25">
      <c r="A1510" s="2">
        <v>1509</v>
      </c>
      <c r="B1510" s="7" t="s">
        <v>1306</v>
      </c>
      <c r="C1510" s="7" t="s">
        <v>100</v>
      </c>
      <c r="D1510" s="7">
        <v>3</v>
      </c>
      <c r="E1510" s="7">
        <v>3</v>
      </c>
      <c r="F1510" s="8">
        <v>1</v>
      </c>
      <c r="G1510" s="8">
        <v>1</v>
      </c>
      <c r="H1510" s="7">
        <v>1</v>
      </c>
      <c r="I1510" s="7">
        <v>1</v>
      </c>
      <c r="J1510" s="9" t="s">
        <v>176</v>
      </c>
      <c r="K1510" s="9" t="s">
        <v>268</v>
      </c>
      <c r="L1510" s="7" t="s">
        <v>52</v>
      </c>
      <c r="M1510" s="7">
        <f t="shared" si="116"/>
        <v>1</v>
      </c>
      <c r="N1510" s="9"/>
      <c r="O1510" s="7"/>
      <c r="P1510" s="9"/>
      <c r="Q1510" s="7"/>
      <c r="R1510" s="7"/>
      <c r="S1510" s="7"/>
      <c r="T1510" s="7"/>
      <c r="U1510" s="7"/>
      <c r="V1510" s="7"/>
      <c r="W1510" s="7"/>
      <c r="X1510" s="7">
        <v>3</v>
      </c>
      <c r="Y1510" s="7"/>
      <c r="Z1510" s="7"/>
      <c r="AA1510" s="7"/>
      <c r="AB1510" s="7">
        <f t="shared" si="115"/>
        <v>1</v>
      </c>
      <c r="AC1510" s="7">
        <f t="shared" si="117"/>
        <v>1</v>
      </c>
      <c r="AD1510" s="7"/>
      <c r="AE1510" s="7"/>
      <c r="AF1510" s="7"/>
      <c r="AG1510" s="7"/>
      <c r="AH1510" s="7"/>
      <c r="AI1510" s="7"/>
      <c r="AJ1510" s="7"/>
      <c r="AK1510" s="7"/>
      <c r="AL1510" s="9"/>
      <c r="AM1510" s="7" t="s">
        <v>71</v>
      </c>
      <c r="AN1510" s="7" t="s">
        <v>71</v>
      </c>
      <c r="AO1510" s="12"/>
    </row>
    <row r="1511" spans="1:41" s="11" customFormat="1" x14ac:dyDescent="0.25">
      <c r="A1511" s="2">
        <v>1510</v>
      </c>
      <c r="B1511" s="7" t="s">
        <v>1306</v>
      </c>
      <c r="C1511" s="7" t="s">
        <v>100</v>
      </c>
      <c r="D1511" s="7">
        <v>3</v>
      </c>
      <c r="E1511" s="7">
        <v>3</v>
      </c>
      <c r="F1511" s="8">
        <v>1</v>
      </c>
      <c r="G1511" s="8">
        <v>1</v>
      </c>
      <c r="H1511" s="7">
        <v>1</v>
      </c>
      <c r="I1511" s="7">
        <v>1</v>
      </c>
      <c r="J1511" s="9" t="s">
        <v>1311</v>
      </c>
      <c r="K1511" s="7">
        <v>10</v>
      </c>
      <c r="L1511" s="7" t="s">
        <v>52</v>
      </c>
      <c r="M1511" s="7">
        <f t="shared" si="116"/>
        <v>1</v>
      </c>
      <c r="N1511" s="9"/>
      <c r="O1511" s="7"/>
      <c r="P1511" s="9"/>
      <c r="Q1511" s="7"/>
      <c r="R1511" s="7"/>
      <c r="S1511" s="7"/>
      <c r="T1511" s="7"/>
      <c r="U1511" s="7"/>
      <c r="V1511" s="7"/>
      <c r="W1511" s="7"/>
      <c r="X1511" s="7">
        <v>3</v>
      </c>
      <c r="Y1511" s="7"/>
      <c r="Z1511" s="7"/>
      <c r="AA1511" s="7"/>
      <c r="AB1511" s="7">
        <f t="shared" si="115"/>
        <v>1</v>
      </c>
      <c r="AC1511" s="7">
        <f t="shared" si="117"/>
        <v>1</v>
      </c>
      <c r="AD1511" s="7"/>
      <c r="AE1511" s="7"/>
      <c r="AF1511" s="7"/>
      <c r="AG1511" s="7"/>
      <c r="AH1511" s="7"/>
      <c r="AI1511" s="7"/>
      <c r="AJ1511" s="7"/>
      <c r="AK1511" s="7"/>
      <c r="AL1511" s="9"/>
      <c r="AM1511" s="7" t="s">
        <v>71</v>
      </c>
      <c r="AN1511" s="7" t="s">
        <v>71</v>
      </c>
      <c r="AO1511" s="12"/>
    </row>
    <row r="1512" spans="1:41" s="11" customFormat="1" x14ac:dyDescent="0.25">
      <c r="A1512" s="2">
        <v>1511</v>
      </c>
      <c r="B1512" s="7" t="s">
        <v>1306</v>
      </c>
      <c r="C1512" s="7" t="s">
        <v>100</v>
      </c>
      <c r="D1512" s="7">
        <v>2</v>
      </c>
      <c r="E1512" s="7">
        <v>2</v>
      </c>
      <c r="F1512" s="8">
        <v>1</v>
      </c>
      <c r="G1512" s="8">
        <v>1</v>
      </c>
      <c r="H1512" s="7">
        <v>1</v>
      </c>
      <c r="I1512" s="7">
        <v>1</v>
      </c>
      <c r="J1512" s="9" t="s">
        <v>176</v>
      </c>
      <c r="K1512" s="7"/>
      <c r="L1512" s="7" t="s">
        <v>52</v>
      </c>
      <c r="M1512" s="7">
        <f t="shared" si="116"/>
        <v>1</v>
      </c>
      <c r="N1512" s="9"/>
      <c r="O1512" s="7"/>
      <c r="P1512" s="9"/>
      <c r="Q1512" s="7"/>
      <c r="R1512" s="7"/>
      <c r="S1512" s="7"/>
      <c r="T1512" s="7"/>
      <c r="U1512" s="7"/>
      <c r="V1512" s="7"/>
      <c r="W1512" s="7"/>
      <c r="X1512" s="7">
        <v>3</v>
      </c>
      <c r="Y1512" s="7"/>
      <c r="Z1512" s="7"/>
      <c r="AA1512" s="7"/>
      <c r="AB1512" s="7">
        <f t="shared" si="115"/>
        <v>1</v>
      </c>
      <c r="AC1512" s="7">
        <f t="shared" si="117"/>
        <v>1</v>
      </c>
      <c r="AD1512" s="7"/>
      <c r="AE1512" s="7"/>
      <c r="AF1512" s="7"/>
      <c r="AG1512" s="7"/>
      <c r="AH1512" s="7"/>
      <c r="AI1512" s="7"/>
      <c r="AJ1512" s="7"/>
      <c r="AK1512" s="7"/>
      <c r="AL1512" s="9"/>
      <c r="AM1512" s="7" t="s">
        <v>71</v>
      </c>
      <c r="AN1512" s="7" t="s">
        <v>71</v>
      </c>
      <c r="AO1512" s="12"/>
    </row>
    <row r="1513" spans="1:41" s="11" customFormat="1" x14ac:dyDescent="0.25">
      <c r="A1513" s="2">
        <v>1512</v>
      </c>
      <c r="B1513" s="7" t="s">
        <v>1306</v>
      </c>
      <c r="C1513" s="7" t="s">
        <v>100</v>
      </c>
      <c r="D1513" s="7">
        <v>11</v>
      </c>
      <c r="E1513" s="7">
        <v>11</v>
      </c>
      <c r="F1513" s="8">
        <v>1</v>
      </c>
      <c r="G1513" s="8">
        <v>1</v>
      </c>
      <c r="H1513" s="7">
        <v>1</v>
      </c>
      <c r="I1513" s="7">
        <v>1</v>
      </c>
      <c r="J1513" s="9" t="s">
        <v>353</v>
      </c>
      <c r="K1513" s="7"/>
      <c r="L1513" s="7" t="s">
        <v>38</v>
      </c>
      <c r="M1513" s="7">
        <f t="shared" si="116"/>
        <v>0</v>
      </c>
      <c r="N1513" s="9"/>
      <c r="O1513" s="7"/>
      <c r="P1513" s="9"/>
      <c r="Q1513" s="7"/>
      <c r="R1513" s="7"/>
      <c r="S1513" s="7"/>
      <c r="T1513" s="7"/>
      <c r="U1513" s="7"/>
      <c r="V1513" s="7"/>
      <c r="W1513" s="7"/>
      <c r="X1513" s="7">
        <v>3</v>
      </c>
      <c r="Y1513" s="7"/>
      <c r="Z1513" s="7"/>
      <c r="AA1513" s="7"/>
      <c r="AB1513" s="7">
        <f t="shared" si="115"/>
        <v>1</v>
      </c>
      <c r="AC1513" s="7">
        <f t="shared" si="117"/>
        <v>0</v>
      </c>
      <c r="AD1513" s="7"/>
      <c r="AE1513" s="7"/>
      <c r="AF1513" s="7"/>
      <c r="AG1513" s="7"/>
      <c r="AH1513" s="7"/>
      <c r="AI1513" s="7"/>
      <c r="AJ1513" s="7"/>
      <c r="AK1513" s="7"/>
      <c r="AL1513" s="9"/>
      <c r="AM1513" s="7" t="s">
        <v>71</v>
      </c>
      <c r="AN1513" s="7" t="s">
        <v>71</v>
      </c>
      <c r="AO1513" s="12"/>
    </row>
    <row r="1514" spans="1:41" s="11" customFormat="1" x14ac:dyDescent="0.25">
      <c r="A1514" s="2">
        <v>1513</v>
      </c>
      <c r="B1514" s="7" t="s">
        <v>1306</v>
      </c>
      <c r="C1514" s="7" t="s">
        <v>89</v>
      </c>
      <c r="D1514" s="7" t="s">
        <v>997</v>
      </c>
      <c r="E1514" s="7">
        <v>13</v>
      </c>
      <c r="F1514" s="8">
        <v>2</v>
      </c>
      <c r="G1514" s="8">
        <v>2</v>
      </c>
      <c r="H1514" s="7" t="s">
        <v>87</v>
      </c>
      <c r="I1514" s="7">
        <v>2</v>
      </c>
      <c r="J1514" s="9" t="s">
        <v>639</v>
      </c>
      <c r="K1514" s="7"/>
      <c r="L1514" s="7" t="s">
        <v>38</v>
      </c>
      <c r="M1514" s="7">
        <f t="shared" si="116"/>
        <v>0</v>
      </c>
      <c r="N1514" s="9"/>
      <c r="O1514" s="7"/>
      <c r="P1514" s="9"/>
      <c r="Q1514" s="7"/>
      <c r="R1514" s="7"/>
      <c r="S1514" s="7"/>
      <c r="T1514" s="7"/>
      <c r="U1514" s="7"/>
      <c r="V1514" s="7"/>
      <c r="W1514" s="7"/>
      <c r="X1514" s="7"/>
      <c r="Y1514" s="7"/>
      <c r="Z1514" s="7"/>
      <c r="AA1514" s="7"/>
      <c r="AB1514" s="7">
        <v>0.33333333333333298</v>
      </c>
      <c r="AC1514" s="7">
        <f t="shared" si="117"/>
        <v>0</v>
      </c>
      <c r="AD1514" s="7"/>
      <c r="AE1514" s="7"/>
      <c r="AF1514" s="7"/>
      <c r="AG1514" s="7"/>
      <c r="AH1514" s="7"/>
      <c r="AI1514" s="7"/>
      <c r="AJ1514" s="7"/>
      <c r="AK1514" s="7"/>
      <c r="AL1514" s="9"/>
      <c r="AM1514" s="7" t="s">
        <v>71</v>
      </c>
      <c r="AN1514" s="7" t="s">
        <v>71</v>
      </c>
      <c r="AO1514" s="12"/>
    </row>
    <row r="1515" spans="1:41" s="11" customFormat="1" x14ac:dyDescent="0.25">
      <c r="A1515" s="2">
        <v>1514</v>
      </c>
      <c r="B1515" s="7" t="s">
        <v>1306</v>
      </c>
      <c r="C1515" s="7" t="s">
        <v>100</v>
      </c>
      <c r="D1515" s="7">
        <v>30</v>
      </c>
      <c r="E1515" s="7">
        <v>30</v>
      </c>
      <c r="F1515" s="8">
        <v>1</v>
      </c>
      <c r="G1515" s="8">
        <v>1</v>
      </c>
      <c r="H1515" s="7">
        <v>1</v>
      </c>
      <c r="I1515" s="7">
        <v>1</v>
      </c>
      <c r="J1515" s="9" t="s">
        <v>1312</v>
      </c>
      <c r="K1515" s="9" t="s">
        <v>35</v>
      </c>
      <c r="L1515" s="9" t="s">
        <v>38</v>
      </c>
      <c r="M1515" s="7">
        <f t="shared" si="116"/>
        <v>0</v>
      </c>
      <c r="N1515" s="9"/>
      <c r="O1515" s="7"/>
      <c r="P1515" s="9"/>
      <c r="Q1515" s="7"/>
      <c r="R1515" s="7"/>
      <c r="S1515" s="7"/>
      <c r="T1515" s="7"/>
      <c r="U1515" s="7"/>
      <c r="V1515" s="7"/>
      <c r="W1515" s="7"/>
      <c r="X1515" s="7">
        <v>3</v>
      </c>
      <c r="Y1515" s="7"/>
      <c r="Z1515" s="7"/>
      <c r="AA1515" s="7"/>
      <c r="AB1515" s="7">
        <f>(U1515+X1515+Z1515)/3</f>
        <v>1</v>
      </c>
      <c r="AC1515" s="7">
        <f t="shared" si="117"/>
        <v>0</v>
      </c>
      <c r="AD1515" s="7"/>
      <c r="AE1515" s="7"/>
      <c r="AF1515" s="7"/>
      <c r="AG1515" s="7"/>
      <c r="AH1515" s="7"/>
      <c r="AI1515" s="7"/>
      <c r="AJ1515" s="7"/>
      <c r="AK1515" s="7"/>
      <c r="AL1515" s="9"/>
      <c r="AM1515" s="7" t="s">
        <v>71</v>
      </c>
      <c r="AN1515" s="7" t="s">
        <v>71</v>
      </c>
      <c r="AO1515" s="15" t="s">
        <v>2733</v>
      </c>
    </row>
    <row r="1516" spans="1:41" s="11" customFormat="1" x14ac:dyDescent="0.25">
      <c r="A1516" s="2">
        <v>1515</v>
      </c>
      <c r="B1516" s="7" t="s">
        <v>1235</v>
      </c>
      <c r="C1516" s="7" t="s">
        <v>104</v>
      </c>
      <c r="D1516" s="7">
        <v>10</v>
      </c>
      <c r="E1516" s="7">
        <v>10</v>
      </c>
      <c r="F1516" s="8">
        <v>1</v>
      </c>
      <c r="G1516" s="8">
        <v>1</v>
      </c>
      <c r="H1516" s="7">
        <v>1</v>
      </c>
      <c r="I1516" s="7">
        <v>1</v>
      </c>
      <c r="J1516" s="9" t="s">
        <v>70</v>
      </c>
      <c r="K1516" s="7">
        <v>2</v>
      </c>
      <c r="L1516" s="7" t="s">
        <v>52</v>
      </c>
      <c r="M1516" s="7">
        <f t="shared" si="116"/>
        <v>1</v>
      </c>
      <c r="N1516" s="9" t="s">
        <v>34</v>
      </c>
      <c r="O1516" s="7">
        <v>0</v>
      </c>
      <c r="P1516" s="9" t="s">
        <v>33</v>
      </c>
      <c r="Q1516" s="7" t="s">
        <v>38</v>
      </c>
      <c r="R1516" s="7" t="s">
        <v>38</v>
      </c>
      <c r="S1516" s="7"/>
      <c r="T1516" s="7"/>
      <c r="U1516" s="7"/>
      <c r="V1516" s="7"/>
      <c r="W1516" s="7"/>
      <c r="X1516" s="7">
        <v>3</v>
      </c>
      <c r="Y1516" s="7"/>
      <c r="Z1516" s="7"/>
      <c r="AA1516" s="7"/>
      <c r="AB1516" s="7">
        <f>(U1516+X1516+Z1516)/3</f>
        <v>1</v>
      </c>
      <c r="AC1516" s="7">
        <f t="shared" si="117"/>
        <v>1</v>
      </c>
      <c r="AD1516" s="7"/>
      <c r="AE1516" s="7">
        <v>1</v>
      </c>
      <c r="AF1516" s="7" t="s">
        <v>40</v>
      </c>
      <c r="AG1516" s="7"/>
      <c r="AH1516" s="7"/>
      <c r="AI1516" s="7"/>
      <c r="AJ1516" s="7"/>
      <c r="AK1516" s="7"/>
      <c r="AL1516" s="9"/>
      <c r="AM1516" s="7" t="s">
        <v>42</v>
      </c>
      <c r="AN1516" s="7" t="s">
        <v>42</v>
      </c>
      <c r="AO1516" s="12"/>
    </row>
    <row r="1517" spans="1:41" s="11" customFormat="1" x14ac:dyDescent="0.25">
      <c r="A1517" s="2">
        <v>1516</v>
      </c>
      <c r="B1517" s="7" t="s">
        <v>1235</v>
      </c>
      <c r="C1517" s="7" t="s">
        <v>89</v>
      </c>
      <c r="D1517" s="7" t="s">
        <v>159</v>
      </c>
      <c r="E1517" s="7">
        <v>6</v>
      </c>
      <c r="F1517" s="8">
        <v>2</v>
      </c>
      <c r="G1517" s="8">
        <v>2</v>
      </c>
      <c r="H1517" s="7" t="s">
        <v>87</v>
      </c>
      <c r="I1517" s="7">
        <v>2</v>
      </c>
      <c r="J1517" s="9" t="s">
        <v>77</v>
      </c>
      <c r="K1517" s="7">
        <v>1</v>
      </c>
      <c r="L1517" s="7" t="s">
        <v>38</v>
      </c>
      <c r="M1517" s="7">
        <f t="shared" si="116"/>
        <v>0</v>
      </c>
      <c r="N1517" s="9"/>
      <c r="O1517" s="7"/>
      <c r="P1517" s="9"/>
      <c r="Q1517" s="7"/>
      <c r="R1517" s="7"/>
      <c r="S1517" s="7"/>
      <c r="T1517" s="7"/>
      <c r="U1517" s="7"/>
      <c r="V1517" s="7"/>
      <c r="W1517" s="7"/>
      <c r="X1517" s="7">
        <v>3</v>
      </c>
      <c r="Y1517" s="7"/>
      <c r="Z1517" s="7"/>
      <c r="AA1517" s="7"/>
      <c r="AB1517" s="7">
        <f>(U1517+X1517+Z1517)/3</f>
        <v>1</v>
      </c>
      <c r="AC1517" s="7">
        <f t="shared" si="117"/>
        <v>0</v>
      </c>
      <c r="AD1517" s="7"/>
      <c r="AE1517" s="7"/>
      <c r="AF1517" s="7"/>
      <c r="AG1517" s="7"/>
      <c r="AH1517" s="7"/>
      <c r="AI1517" s="7"/>
      <c r="AJ1517" s="7"/>
      <c r="AK1517" s="7"/>
      <c r="AL1517" s="9"/>
      <c r="AM1517" s="7" t="s">
        <v>71</v>
      </c>
      <c r="AN1517" s="7" t="s">
        <v>71</v>
      </c>
      <c r="AO1517" s="12"/>
    </row>
    <row r="1518" spans="1:41" s="11" customFormat="1" x14ac:dyDescent="0.25">
      <c r="A1518" s="2">
        <v>1517</v>
      </c>
      <c r="B1518" s="7" t="s">
        <v>1235</v>
      </c>
      <c r="C1518" s="7" t="s">
        <v>100</v>
      </c>
      <c r="D1518" s="7">
        <v>2</v>
      </c>
      <c r="E1518" s="7">
        <v>2</v>
      </c>
      <c r="F1518" s="8">
        <v>1</v>
      </c>
      <c r="G1518" s="8">
        <v>1</v>
      </c>
      <c r="H1518" s="7">
        <v>1</v>
      </c>
      <c r="I1518" s="7">
        <v>1</v>
      </c>
      <c r="J1518" s="9" t="s">
        <v>77</v>
      </c>
      <c r="K1518" s="7">
        <v>2</v>
      </c>
      <c r="L1518" s="7" t="s">
        <v>38</v>
      </c>
      <c r="M1518" s="7">
        <f t="shared" si="116"/>
        <v>0</v>
      </c>
      <c r="N1518" s="9"/>
      <c r="O1518" s="7"/>
      <c r="P1518" s="9"/>
      <c r="Q1518" s="7"/>
      <c r="R1518" s="7"/>
      <c r="S1518" s="7"/>
      <c r="T1518" s="7"/>
      <c r="U1518" s="7"/>
      <c r="V1518" s="7"/>
      <c r="W1518" s="7"/>
      <c r="X1518" s="7">
        <v>3</v>
      </c>
      <c r="Y1518" s="7"/>
      <c r="Z1518" s="7"/>
      <c r="AA1518" s="7"/>
      <c r="AB1518" s="7">
        <f>(U1518+X1518+Z1518)/3</f>
        <v>1</v>
      </c>
      <c r="AC1518" s="7">
        <f t="shared" si="117"/>
        <v>0</v>
      </c>
      <c r="AD1518" s="7"/>
      <c r="AE1518" s="7"/>
      <c r="AF1518" s="7"/>
      <c r="AG1518" s="7"/>
      <c r="AH1518" s="7"/>
      <c r="AI1518" s="7"/>
      <c r="AJ1518" s="7"/>
      <c r="AK1518" s="7"/>
      <c r="AL1518" s="9"/>
      <c r="AM1518" s="7" t="s">
        <v>71</v>
      </c>
      <c r="AN1518" s="7" t="s">
        <v>71</v>
      </c>
      <c r="AO1518" s="12"/>
    </row>
    <row r="1519" spans="1:41" s="11" customFormat="1" x14ac:dyDescent="0.25">
      <c r="A1519" s="2">
        <v>1518</v>
      </c>
      <c r="B1519" s="7" t="s">
        <v>1235</v>
      </c>
      <c r="C1519" s="7" t="s">
        <v>119</v>
      </c>
      <c r="D1519" s="7">
        <v>2</v>
      </c>
      <c r="E1519" s="7">
        <v>2</v>
      </c>
      <c r="F1519" s="8">
        <v>1</v>
      </c>
      <c r="G1519" s="8">
        <v>1</v>
      </c>
      <c r="H1519" s="7">
        <v>1</v>
      </c>
      <c r="I1519" s="7">
        <v>1</v>
      </c>
      <c r="J1519" s="9" t="s">
        <v>77</v>
      </c>
      <c r="K1519" s="7">
        <v>1</v>
      </c>
      <c r="L1519" s="7" t="s">
        <v>38</v>
      </c>
      <c r="M1519" s="7">
        <f t="shared" si="116"/>
        <v>0</v>
      </c>
      <c r="N1519" s="9"/>
      <c r="O1519" s="7"/>
      <c r="P1519" s="9"/>
      <c r="Q1519" s="7"/>
      <c r="R1519" s="7"/>
      <c r="S1519" s="10" t="s">
        <v>2241</v>
      </c>
      <c r="T1519" s="7"/>
      <c r="U1519" s="7"/>
      <c r="V1519" s="7"/>
      <c r="W1519" s="7"/>
      <c r="X1519" s="7"/>
      <c r="Y1519" s="7"/>
      <c r="Z1519" s="7"/>
      <c r="AA1519" s="7"/>
      <c r="AB1519" s="7">
        <v>0.33333333333333298</v>
      </c>
      <c r="AC1519" s="7">
        <f t="shared" si="117"/>
        <v>0</v>
      </c>
      <c r="AD1519" s="7">
        <v>1</v>
      </c>
      <c r="AE1519" s="7"/>
      <c r="AF1519" s="7" t="s">
        <v>40</v>
      </c>
      <c r="AG1519" s="7" t="s">
        <v>1313</v>
      </c>
      <c r="AH1519" s="7"/>
      <c r="AI1519" s="7"/>
      <c r="AJ1519" s="7"/>
      <c r="AK1519" s="7"/>
      <c r="AL1519" s="9"/>
      <c r="AM1519" s="7" t="s">
        <v>71</v>
      </c>
      <c r="AN1519" s="7" t="s">
        <v>71</v>
      </c>
      <c r="AO1519" s="12"/>
    </row>
    <row r="1520" spans="1:41" s="11" customFormat="1" ht="60" x14ac:dyDescent="0.25">
      <c r="A1520" s="2">
        <v>1519</v>
      </c>
      <c r="B1520" s="7" t="s">
        <v>1235</v>
      </c>
      <c r="C1520" s="7" t="s">
        <v>78</v>
      </c>
      <c r="D1520" s="7">
        <v>7</v>
      </c>
      <c r="E1520" s="7">
        <v>7</v>
      </c>
      <c r="F1520" s="8">
        <v>1</v>
      </c>
      <c r="G1520" s="8">
        <v>1</v>
      </c>
      <c r="H1520" s="7">
        <v>1</v>
      </c>
      <c r="I1520" s="7">
        <v>1</v>
      </c>
      <c r="J1520" s="9" t="s">
        <v>35</v>
      </c>
      <c r="K1520" s="7">
        <v>2</v>
      </c>
      <c r="L1520" s="7" t="s">
        <v>52</v>
      </c>
      <c r="M1520" s="7">
        <f t="shared" si="116"/>
        <v>1</v>
      </c>
      <c r="N1520" s="9" t="s">
        <v>34</v>
      </c>
      <c r="O1520" s="7">
        <v>0</v>
      </c>
      <c r="P1520" s="9" t="s">
        <v>33</v>
      </c>
      <c r="Q1520" s="7" t="s">
        <v>38</v>
      </c>
      <c r="R1520" s="7" t="s">
        <v>38</v>
      </c>
      <c r="S1520" s="10" t="s">
        <v>2242</v>
      </c>
      <c r="T1520" s="7">
        <v>5</v>
      </c>
      <c r="U1520" s="7">
        <v>5</v>
      </c>
      <c r="V1520" s="7" t="s">
        <v>76</v>
      </c>
      <c r="W1520" s="7" t="s">
        <v>1308</v>
      </c>
      <c r="X1520" s="7"/>
      <c r="Y1520" s="7"/>
      <c r="Z1520" s="7"/>
      <c r="AA1520" s="7"/>
      <c r="AB1520" s="7">
        <f t="shared" ref="AB1520:AB1530" si="118">(U1520+X1520+Z1520)/3</f>
        <v>1.6666666666666667</v>
      </c>
      <c r="AC1520" s="7">
        <f t="shared" si="117"/>
        <v>1.6666666666666667</v>
      </c>
      <c r="AD1520" s="7"/>
      <c r="AE1520" s="7"/>
      <c r="AF1520" s="7"/>
      <c r="AG1520" s="7"/>
      <c r="AH1520" s="7"/>
      <c r="AI1520" s="7"/>
      <c r="AJ1520" s="7"/>
      <c r="AK1520" s="7"/>
      <c r="AL1520" s="9"/>
      <c r="AM1520" s="7" t="s">
        <v>1309</v>
      </c>
      <c r="AN1520" s="7" t="s">
        <v>2848</v>
      </c>
      <c r="AO1520" s="12"/>
    </row>
    <row r="1521" spans="1:41" s="11" customFormat="1" x14ac:dyDescent="0.25">
      <c r="A1521" s="2">
        <v>1520</v>
      </c>
      <c r="B1521" s="7" t="s">
        <v>1235</v>
      </c>
      <c r="C1521" s="7" t="s">
        <v>104</v>
      </c>
      <c r="D1521" s="7">
        <v>9</v>
      </c>
      <c r="E1521" s="7">
        <v>9</v>
      </c>
      <c r="F1521" s="8">
        <v>1</v>
      </c>
      <c r="G1521" s="8">
        <v>1</v>
      </c>
      <c r="H1521" s="7">
        <v>1</v>
      </c>
      <c r="I1521" s="7">
        <v>1</v>
      </c>
      <c r="J1521" s="9" t="s">
        <v>35</v>
      </c>
      <c r="K1521" s="7">
        <v>1</v>
      </c>
      <c r="L1521" s="7" t="s">
        <v>52</v>
      </c>
      <c r="M1521" s="7">
        <f t="shared" si="116"/>
        <v>1</v>
      </c>
      <c r="N1521" s="9" t="s">
        <v>36</v>
      </c>
      <c r="O1521" s="7">
        <v>0</v>
      </c>
      <c r="P1521" s="9" t="s">
        <v>63</v>
      </c>
      <c r="Q1521" s="7" t="s">
        <v>38</v>
      </c>
      <c r="R1521" s="7" t="s">
        <v>38</v>
      </c>
      <c r="S1521" s="7" t="s">
        <v>1314</v>
      </c>
      <c r="T1521" s="7"/>
      <c r="U1521" s="7"/>
      <c r="V1521" s="7"/>
      <c r="W1521" s="7"/>
      <c r="X1521" s="7">
        <v>3</v>
      </c>
      <c r="Y1521" s="7"/>
      <c r="Z1521" s="7"/>
      <c r="AA1521" s="7"/>
      <c r="AB1521" s="7">
        <f t="shared" si="118"/>
        <v>1</v>
      </c>
      <c r="AC1521" s="7">
        <f t="shared" si="117"/>
        <v>1</v>
      </c>
      <c r="AD1521" s="7"/>
      <c r="AE1521" s="7">
        <v>1</v>
      </c>
      <c r="AF1521" s="7" t="s">
        <v>40</v>
      </c>
      <c r="AG1521" s="7" t="s">
        <v>534</v>
      </c>
      <c r="AH1521" s="7"/>
      <c r="AI1521" s="7"/>
      <c r="AJ1521" s="7"/>
      <c r="AK1521" s="7"/>
      <c r="AL1521" s="9"/>
      <c r="AM1521" s="7" t="s">
        <v>42</v>
      </c>
      <c r="AN1521" s="7" t="s">
        <v>42</v>
      </c>
      <c r="AO1521" s="12"/>
    </row>
    <row r="1522" spans="1:41" s="11" customFormat="1" x14ac:dyDescent="0.25">
      <c r="A1522" s="2">
        <v>1521</v>
      </c>
      <c r="B1522" s="7" t="s">
        <v>1235</v>
      </c>
      <c r="C1522" s="7" t="s">
        <v>100</v>
      </c>
      <c r="D1522" s="7">
        <v>7</v>
      </c>
      <c r="E1522" s="7">
        <v>7</v>
      </c>
      <c r="F1522" s="8">
        <v>1</v>
      </c>
      <c r="G1522" s="8">
        <v>1</v>
      </c>
      <c r="H1522" s="7">
        <v>1</v>
      </c>
      <c r="I1522" s="7">
        <v>1</v>
      </c>
      <c r="J1522" s="9" t="s">
        <v>35</v>
      </c>
      <c r="K1522" s="7">
        <v>1</v>
      </c>
      <c r="L1522" s="7" t="s">
        <v>52</v>
      </c>
      <c r="M1522" s="7">
        <f t="shared" si="116"/>
        <v>1</v>
      </c>
      <c r="N1522" s="9"/>
      <c r="O1522" s="7"/>
      <c r="P1522" s="9"/>
      <c r="Q1522" s="7"/>
      <c r="R1522" s="7"/>
      <c r="S1522" s="7"/>
      <c r="T1522" s="7"/>
      <c r="U1522" s="7"/>
      <c r="V1522" s="7"/>
      <c r="W1522" s="7"/>
      <c r="X1522" s="7">
        <v>3</v>
      </c>
      <c r="Y1522" s="7"/>
      <c r="Z1522" s="7"/>
      <c r="AA1522" s="7"/>
      <c r="AB1522" s="7">
        <f t="shared" si="118"/>
        <v>1</v>
      </c>
      <c r="AC1522" s="7">
        <f t="shared" si="117"/>
        <v>1</v>
      </c>
      <c r="AD1522" s="7"/>
      <c r="AE1522" s="7"/>
      <c r="AF1522" s="7"/>
      <c r="AG1522" s="7"/>
      <c r="AH1522" s="7"/>
      <c r="AI1522" s="7"/>
      <c r="AJ1522" s="7"/>
      <c r="AK1522" s="7"/>
      <c r="AL1522" s="9"/>
      <c r="AM1522" s="7" t="s">
        <v>71</v>
      </c>
      <c r="AN1522" s="7" t="s">
        <v>71</v>
      </c>
      <c r="AO1522" s="12"/>
    </row>
    <row r="1523" spans="1:41" s="11" customFormat="1" x14ac:dyDescent="0.25">
      <c r="A1523" s="2">
        <v>1522</v>
      </c>
      <c r="B1523" s="7" t="s">
        <v>1235</v>
      </c>
      <c r="C1523" s="7" t="s">
        <v>89</v>
      </c>
      <c r="D1523" s="7" t="s">
        <v>146</v>
      </c>
      <c r="E1523" s="7">
        <v>5</v>
      </c>
      <c r="F1523" s="8">
        <v>2</v>
      </c>
      <c r="G1523" s="8">
        <v>2</v>
      </c>
      <c r="H1523" s="7" t="s">
        <v>87</v>
      </c>
      <c r="I1523" s="7">
        <v>2</v>
      </c>
      <c r="J1523" s="9" t="s">
        <v>35</v>
      </c>
      <c r="K1523" s="7">
        <v>2</v>
      </c>
      <c r="L1523" s="7" t="s">
        <v>52</v>
      </c>
      <c r="M1523" s="7">
        <f t="shared" si="116"/>
        <v>2</v>
      </c>
      <c r="N1523" s="9"/>
      <c r="O1523" s="7"/>
      <c r="P1523" s="9"/>
      <c r="Q1523" s="7"/>
      <c r="R1523" s="7"/>
      <c r="S1523" s="7"/>
      <c r="T1523" s="7"/>
      <c r="U1523" s="7"/>
      <c r="V1523" s="7"/>
      <c r="W1523" s="7"/>
      <c r="X1523" s="7">
        <v>3</v>
      </c>
      <c r="Y1523" s="7"/>
      <c r="Z1523" s="7"/>
      <c r="AA1523" s="7"/>
      <c r="AB1523" s="7">
        <f t="shared" si="118"/>
        <v>1</v>
      </c>
      <c r="AC1523" s="7">
        <f t="shared" si="117"/>
        <v>1</v>
      </c>
      <c r="AD1523" s="7"/>
      <c r="AE1523" s="7"/>
      <c r="AF1523" s="7"/>
      <c r="AG1523" s="7"/>
      <c r="AH1523" s="7"/>
      <c r="AI1523" s="7"/>
      <c r="AJ1523" s="7"/>
      <c r="AK1523" s="7"/>
      <c r="AL1523" s="9"/>
      <c r="AM1523" s="7" t="s">
        <v>71</v>
      </c>
      <c r="AN1523" s="7" t="s">
        <v>71</v>
      </c>
      <c r="AO1523" s="12"/>
    </row>
    <row r="1524" spans="1:41" s="11" customFormat="1" x14ac:dyDescent="0.25">
      <c r="A1524" s="2">
        <v>1523</v>
      </c>
      <c r="B1524" s="7" t="s">
        <v>1235</v>
      </c>
      <c r="C1524" s="7" t="s">
        <v>104</v>
      </c>
      <c r="D1524" s="7">
        <v>19</v>
      </c>
      <c r="E1524" s="7">
        <v>19</v>
      </c>
      <c r="F1524" s="8">
        <v>1</v>
      </c>
      <c r="G1524" s="8">
        <v>1</v>
      </c>
      <c r="H1524" s="7">
        <v>1</v>
      </c>
      <c r="I1524" s="7">
        <v>1</v>
      </c>
      <c r="J1524" s="9" t="s">
        <v>219</v>
      </c>
      <c r="K1524" s="7">
        <v>8</v>
      </c>
      <c r="L1524" s="7" t="s">
        <v>52</v>
      </c>
      <c r="M1524" s="7">
        <f t="shared" si="116"/>
        <v>1</v>
      </c>
      <c r="N1524" s="9" t="s">
        <v>82</v>
      </c>
      <c r="O1524" s="7">
        <v>0</v>
      </c>
      <c r="P1524" s="9" t="s">
        <v>34</v>
      </c>
      <c r="Q1524" s="7" t="s">
        <v>38</v>
      </c>
      <c r="R1524" s="7" t="s">
        <v>38</v>
      </c>
      <c r="S1524" s="10" t="s">
        <v>2243</v>
      </c>
      <c r="T1524" s="7"/>
      <c r="U1524" s="7"/>
      <c r="V1524" s="7"/>
      <c r="W1524" s="7"/>
      <c r="X1524" s="7">
        <v>3</v>
      </c>
      <c r="Y1524" s="7"/>
      <c r="Z1524" s="7"/>
      <c r="AA1524" s="7"/>
      <c r="AB1524" s="7">
        <f t="shared" si="118"/>
        <v>1</v>
      </c>
      <c r="AC1524" s="7">
        <f t="shared" si="117"/>
        <v>1</v>
      </c>
      <c r="AD1524" s="7"/>
      <c r="AE1524" s="7">
        <v>1</v>
      </c>
      <c r="AF1524" s="7" t="s">
        <v>155</v>
      </c>
      <c r="AG1524" s="7" t="s">
        <v>1315</v>
      </c>
      <c r="AH1524" s="7"/>
      <c r="AI1524" s="7"/>
      <c r="AJ1524" s="7"/>
      <c r="AK1524" s="7"/>
      <c r="AL1524" s="9"/>
      <c r="AM1524" s="7" t="s">
        <v>71</v>
      </c>
      <c r="AN1524" s="7" t="s">
        <v>71</v>
      </c>
      <c r="AO1524" s="12"/>
    </row>
    <row r="1525" spans="1:41" s="11" customFormat="1" x14ac:dyDescent="0.25">
      <c r="A1525" s="2">
        <v>1524</v>
      </c>
      <c r="B1525" s="7" t="s">
        <v>1235</v>
      </c>
      <c r="C1525" s="7" t="s">
        <v>100</v>
      </c>
      <c r="D1525" s="7">
        <v>13</v>
      </c>
      <c r="E1525" s="7">
        <v>13</v>
      </c>
      <c r="F1525" s="8">
        <v>1</v>
      </c>
      <c r="G1525" s="8">
        <v>1</v>
      </c>
      <c r="H1525" s="7">
        <v>1</v>
      </c>
      <c r="I1525" s="7">
        <v>1</v>
      </c>
      <c r="J1525" s="9" t="s">
        <v>219</v>
      </c>
      <c r="K1525" s="7">
        <v>8</v>
      </c>
      <c r="L1525" s="7" t="s">
        <v>52</v>
      </c>
      <c r="M1525" s="7">
        <f t="shared" si="116"/>
        <v>1</v>
      </c>
      <c r="N1525" s="9"/>
      <c r="O1525" s="7"/>
      <c r="P1525" s="9"/>
      <c r="Q1525" s="7"/>
      <c r="R1525" s="7"/>
      <c r="S1525" s="7"/>
      <c r="T1525" s="7"/>
      <c r="U1525" s="7"/>
      <c r="V1525" s="7"/>
      <c r="W1525" s="7"/>
      <c r="X1525" s="7">
        <v>3</v>
      </c>
      <c r="Y1525" s="7"/>
      <c r="Z1525" s="7"/>
      <c r="AA1525" s="7"/>
      <c r="AB1525" s="7">
        <f t="shared" si="118"/>
        <v>1</v>
      </c>
      <c r="AC1525" s="7">
        <f t="shared" si="117"/>
        <v>1</v>
      </c>
      <c r="AD1525" s="7"/>
      <c r="AE1525" s="7"/>
      <c r="AF1525" s="7"/>
      <c r="AG1525" s="7"/>
      <c r="AH1525" s="7"/>
      <c r="AI1525" s="7"/>
      <c r="AJ1525" s="7"/>
      <c r="AK1525" s="7"/>
      <c r="AL1525" s="9"/>
      <c r="AM1525" s="7" t="s">
        <v>71</v>
      </c>
      <c r="AN1525" s="7" t="s">
        <v>71</v>
      </c>
      <c r="AO1525" s="12"/>
    </row>
    <row r="1526" spans="1:41" s="11" customFormat="1" x14ac:dyDescent="0.25">
      <c r="A1526" s="2">
        <v>1525</v>
      </c>
      <c r="B1526" s="7" t="s">
        <v>1235</v>
      </c>
      <c r="C1526" s="7" t="s">
        <v>89</v>
      </c>
      <c r="D1526" s="7" t="s">
        <v>196</v>
      </c>
      <c r="E1526" s="7">
        <v>2</v>
      </c>
      <c r="F1526" s="8">
        <v>1</v>
      </c>
      <c r="G1526" s="8">
        <v>2</v>
      </c>
      <c r="H1526" s="7" t="s">
        <v>87</v>
      </c>
      <c r="I1526" s="7">
        <v>2</v>
      </c>
      <c r="J1526" s="9" t="s">
        <v>176</v>
      </c>
      <c r="K1526" s="7">
        <v>6</v>
      </c>
      <c r="L1526" s="7" t="s">
        <v>52</v>
      </c>
      <c r="M1526" s="7">
        <f t="shared" si="116"/>
        <v>1</v>
      </c>
      <c r="N1526" s="9"/>
      <c r="O1526" s="7"/>
      <c r="P1526" s="9"/>
      <c r="Q1526" s="7"/>
      <c r="R1526" s="7"/>
      <c r="S1526" s="7"/>
      <c r="T1526" s="7"/>
      <c r="U1526" s="7"/>
      <c r="V1526" s="7"/>
      <c r="W1526" s="7"/>
      <c r="X1526" s="7">
        <v>3</v>
      </c>
      <c r="Y1526" s="7"/>
      <c r="Z1526" s="7"/>
      <c r="AA1526" s="7"/>
      <c r="AB1526" s="7">
        <f t="shared" si="118"/>
        <v>1</v>
      </c>
      <c r="AC1526" s="7">
        <f t="shared" si="117"/>
        <v>1</v>
      </c>
      <c r="AD1526" s="7"/>
      <c r="AE1526" s="7"/>
      <c r="AF1526" s="7"/>
      <c r="AG1526" s="7"/>
      <c r="AH1526" s="7"/>
      <c r="AI1526" s="7"/>
      <c r="AJ1526" s="7"/>
      <c r="AK1526" s="7"/>
      <c r="AL1526" s="9"/>
      <c r="AM1526" s="7" t="s">
        <v>71</v>
      </c>
      <c r="AN1526" s="7" t="s">
        <v>71</v>
      </c>
      <c r="AO1526" s="12"/>
    </row>
    <row r="1527" spans="1:41" s="11" customFormat="1" x14ac:dyDescent="0.25">
      <c r="A1527" s="2">
        <v>1526</v>
      </c>
      <c r="B1527" s="7" t="s">
        <v>1235</v>
      </c>
      <c r="C1527" s="7" t="s">
        <v>100</v>
      </c>
      <c r="D1527" s="7">
        <v>2</v>
      </c>
      <c r="E1527" s="7">
        <v>2</v>
      </c>
      <c r="F1527" s="8">
        <v>1</v>
      </c>
      <c r="G1527" s="8">
        <v>1</v>
      </c>
      <c r="H1527" s="7">
        <v>1</v>
      </c>
      <c r="I1527" s="7">
        <v>1</v>
      </c>
      <c r="J1527" s="9" t="s">
        <v>176</v>
      </c>
      <c r="K1527" s="9" t="s">
        <v>268</v>
      </c>
      <c r="L1527" s="7" t="s">
        <v>52</v>
      </c>
      <c r="M1527" s="7">
        <f t="shared" si="116"/>
        <v>1</v>
      </c>
      <c r="N1527" s="9"/>
      <c r="O1527" s="7"/>
      <c r="P1527" s="9"/>
      <c r="Q1527" s="7"/>
      <c r="R1527" s="7"/>
      <c r="S1527" s="7"/>
      <c r="T1527" s="7"/>
      <c r="U1527" s="7"/>
      <c r="V1527" s="7"/>
      <c r="W1527" s="7"/>
      <c r="X1527" s="7">
        <v>3</v>
      </c>
      <c r="Y1527" s="7"/>
      <c r="Z1527" s="7"/>
      <c r="AA1527" s="7"/>
      <c r="AB1527" s="7">
        <f t="shared" si="118"/>
        <v>1</v>
      </c>
      <c r="AC1527" s="7">
        <f t="shared" si="117"/>
        <v>1</v>
      </c>
      <c r="AD1527" s="7"/>
      <c r="AE1527" s="7"/>
      <c r="AF1527" s="7"/>
      <c r="AG1527" s="7"/>
      <c r="AH1527" s="7"/>
      <c r="AI1527" s="7"/>
      <c r="AJ1527" s="7"/>
      <c r="AK1527" s="7"/>
      <c r="AL1527" s="9"/>
      <c r="AM1527" s="7" t="s">
        <v>71</v>
      </c>
      <c r="AN1527" s="7" t="s">
        <v>71</v>
      </c>
      <c r="AO1527" s="12"/>
    </row>
    <row r="1528" spans="1:41" s="11" customFormat="1" x14ac:dyDescent="0.25">
      <c r="A1528" s="2">
        <v>1527</v>
      </c>
      <c r="B1528" s="7" t="s">
        <v>1235</v>
      </c>
      <c r="C1528" s="7" t="s">
        <v>100</v>
      </c>
      <c r="D1528" s="7">
        <v>13</v>
      </c>
      <c r="E1528" s="7">
        <v>13</v>
      </c>
      <c r="F1528" s="8">
        <v>1</v>
      </c>
      <c r="G1528" s="8">
        <v>1</v>
      </c>
      <c r="H1528" s="7">
        <v>1</v>
      </c>
      <c r="I1528" s="7">
        <v>1</v>
      </c>
      <c r="J1528" s="9" t="s">
        <v>176</v>
      </c>
      <c r="K1528" s="9" t="s">
        <v>189</v>
      </c>
      <c r="L1528" s="7" t="s">
        <v>52</v>
      </c>
      <c r="M1528" s="7">
        <f t="shared" si="116"/>
        <v>1</v>
      </c>
      <c r="N1528" s="9"/>
      <c r="O1528" s="7"/>
      <c r="P1528" s="9"/>
      <c r="Q1528" s="7"/>
      <c r="R1528" s="7"/>
      <c r="S1528" s="7"/>
      <c r="T1528" s="7"/>
      <c r="U1528" s="7"/>
      <c r="V1528" s="7"/>
      <c r="W1528" s="7"/>
      <c r="X1528" s="7">
        <v>3</v>
      </c>
      <c r="Y1528" s="7"/>
      <c r="Z1528" s="7"/>
      <c r="AA1528" s="7"/>
      <c r="AB1528" s="7">
        <f t="shared" si="118"/>
        <v>1</v>
      </c>
      <c r="AC1528" s="7">
        <f t="shared" si="117"/>
        <v>1</v>
      </c>
      <c r="AD1528" s="7"/>
      <c r="AE1528" s="7"/>
      <c r="AF1528" s="7"/>
      <c r="AG1528" s="7"/>
      <c r="AH1528" s="7"/>
      <c r="AI1528" s="7"/>
      <c r="AJ1528" s="7"/>
      <c r="AK1528" s="7"/>
      <c r="AL1528" s="9"/>
      <c r="AM1528" s="7" t="s">
        <v>71</v>
      </c>
      <c r="AN1528" s="7" t="s">
        <v>71</v>
      </c>
      <c r="AO1528" s="12"/>
    </row>
    <row r="1529" spans="1:41" s="11" customFormat="1" x14ac:dyDescent="0.25">
      <c r="A1529" s="2">
        <v>1528</v>
      </c>
      <c r="B1529" s="7" t="s">
        <v>1235</v>
      </c>
      <c r="C1529" s="7" t="s">
        <v>89</v>
      </c>
      <c r="D1529" s="7" t="s">
        <v>124</v>
      </c>
      <c r="E1529" s="7">
        <v>4</v>
      </c>
      <c r="F1529" s="8">
        <v>1</v>
      </c>
      <c r="G1529" s="8">
        <v>2</v>
      </c>
      <c r="H1529" s="7">
        <v>2</v>
      </c>
      <c r="I1529" s="7">
        <v>2</v>
      </c>
      <c r="J1529" s="9" t="s">
        <v>176</v>
      </c>
      <c r="K1529" s="7">
        <v>2</v>
      </c>
      <c r="L1529" s="7" t="s">
        <v>52</v>
      </c>
      <c r="M1529" s="7">
        <f t="shared" si="116"/>
        <v>1</v>
      </c>
      <c r="N1529" s="9"/>
      <c r="O1529" s="7"/>
      <c r="P1529" s="9"/>
      <c r="Q1529" s="7"/>
      <c r="R1529" s="7"/>
      <c r="S1529" s="7"/>
      <c r="T1529" s="7"/>
      <c r="U1529" s="7"/>
      <c r="V1529" s="7"/>
      <c r="W1529" s="7"/>
      <c r="X1529" s="7">
        <v>3</v>
      </c>
      <c r="Y1529" s="7"/>
      <c r="Z1529" s="7"/>
      <c r="AA1529" s="7"/>
      <c r="AB1529" s="7">
        <f t="shared" si="118"/>
        <v>1</v>
      </c>
      <c r="AC1529" s="7">
        <f t="shared" si="117"/>
        <v>1</v>
      </c>
      <c r="AD1529" s="7"/>
      <c r="AE1529" s="7"/>
      <c r="AF1529" s="7"/>
      <c r="AG1529" s="7"/>
      <c r="AH1529" s="7"/>
      <c r="AI1529" s="7"/>
      <c r="AJ1529" s="7"/>
      <c r="AK1529" s="7"/>
      <c r="AL1529" s="9"/>
      <c r="AM1529" s="7" t="s">
        <v>71</v>
      </c>
      <c r="AN1529" s="7" t="s">
        <v>71</v>
      </c>
      <c r="AO1529" s="12"/>
    </row>
    <row r="1530" spans="1:41" s="11" customFormat="1" ht="24" x14ac:dyDescent="0.25">
      <c r="A1530" s="2">
        <v>1529</v>
      </c>
      <c r="B1530" s="7" t="s">
        <v>1235</v>
      </c>
      <c r="C1530" s="7" t="s">
        <v>100</v>
      </c>
      <c r="D1530" s="7">
        <v>4</v>
      </c>
      <c r="E1530" s="7">
        <v>4</v>
      </c>
      <c r="F1530" s="8">
        <v>1</v>
      </c>
      <c r="G1530" s="8">
        <v>1</v>
      </c>
      <c r="H1530" s="7">
        <v>1</v>
      </c>
      <c r="I1530" s="7">
        <v>1</v>
      </c>
      <c r="J1530" s="9" t="s">
        <v>176</v>
      </c>
      <c r="K1530" s="7"/>
      <c r="L1530" s="7" t="s">
        <v>52</v>
      </c>
      <c r="M1530" s="7">
        <f t="shared" si="116"/>
        <v>1</v>
      </c>
      <c r="N1530" s="9"/>
      <c r="O1530" s="7"/>
      <c r="P1530" s="9"/>
      <c r="Q1530" s="7"/>
      <c r="R1530" s="7"/>
      <c r="S1530" s="7"/>
      <c r="T1530" s="7"/>
      <c r="U1530" s="7"/>
      <c r="V1530" s="7"/>
      <c r="W1530" s="7"/>
      <c r="X1530" s="7">
        <v>3</v>
      </c>
      <c r="Y1530" s="7"/>
      <c r="Z1530" s="7"/>
      <c r="AA1530" s="7"/>
      <c r="AB1530" s="7">
        <f t="shared" si="118"/>
        <v>1</v>
      </c>
      <c r="AC1530" s="7">
        <f t="shared" si="117"/>
        <v>1</v>
      </c>
      <c r="AD1530" s="7"/>
      <c r="AE1530" s="7"/>
      <c r="AF1530" s="7"/>
      <c r="AG1530" s="7"/>
      <c r="AH1530" s="7"/>
      <c r="AI1530" s="7"/>
      <c r="AJ1530" s="7"/>
      <c r="AK1530" s="7"/>
      <c r="AL1530" s="9"/>
      <c r="AM1530" s="7" t="s">
        <v>71</v>
      </c>
      <c r="AN1530" s="7" t="s">
        <v>71</v>
      </c>
      <c r="AO1530" s="15" t="s">
        <v>2734</v>
      </c>
    </row>
    <row r="1531" spans="1:41" s="11" customFormat="1" x14ac:dyDescent="0.25">
      <c r="A1531" s="2">
        <v>1530</v>
      </c>
      <c r="B1531" s="7" t="s">
        <v>1235</v>
      </c>
      <c r="C1531" s="7" t="s">
        <v>577</v>
      </c>
      <c r="D1531" s="7">
        <v>91</v>
      </c>
      <c r="E1531" s="7">
        <v>91</v>
      </c>
      <c r="F1531" s="8">
        <v>6</v>
      </c>
      <c r="G1531" s="8">
        <v>10</v>
      </c>
      <c r="H1531" s="7" t="s">
        <v>260</v>
      </c>
      <c r="I1531" s="7">
        <v>10</v>
      </c>
      <c r="J1531" s="9" t="s">
        <v>639</v>
      </c>
      <c r="K1531" s="7"/>
      <c r="L1531" s="7" t="s">
        <v>38</v>
      </c>
      <c r="M1531" s="7">
        <f t="shared" si="116"/>
        <v>0</v>
      </c>
      <c r="N1531" s="9"/>
      <c r="O1531" s="7"/>
      <c r="P1531" s="9"/>
      <c r="Q1531" s="7"/>
      <c r="R1531" s="7"/>
      <c r="S1531" s="7"/>
      <c r="T1531" s="7"/>
      <c r="U1531" s="7"/>
      <c r="V1531" s="7"/>
      <c r="W1531" s="7"/>
      <c r="X1531" s="7"/>
      <c r="Y1531" s="7"/>
      <c r="Z1531" s="7"/>
      <c r="AA1531" s="7"/>
      <c r="AB1531" s="7">
        <v>0.33333333333333298</v>
      </c>
      <c r="AC1531" s="7">
        <f t="shared" si="117"/>
        <v>0</v>
      </c>
      <c r="AD1531" s="7"/>
      <c r="AE1531" s="7"/>
      <c r="AF1531" s="7"/>
      <c r="AG1531" s="7"/>
      <c r="AH1531" s="7"/>
      <c r="AI1531" s="7"/>
      <c r="AJ1531" s="7"/>
      <c r="AK1531" s="7"/>
      <c r="AL1531" s="9"/>
      <c r="AM1531" s="7"/>
      <c r="AN1531" s="7"/>
      <c r="AO1531" s="15" t="s">
        <v>2735</v>
      </c>
    </row>
    <row r="1532" spans="1:41" s="11" customFormat="1" ht="24" x14ac:dyDescent="0.25">
      <c r="A1532" s="2">
        <v>1531</v>
      </c>
      <c r="B1532" s="7" t="s">
        <v>1235</v>
      </c>
      <c r="C1532" s="7" t="s">
        <v>32</v>
      </c>
      <c r="D1532" s="7" t="s">
        <v>1482</v>
      </c>
      <c r="E1532" s="7">
        <f>61+46+37+30+7</f>
        <v>181</v>
      </c>
      <c r="F1532" s="8">
        <v>1</v>
      </c>
      <c r="G1532" s="8">
        <v>9</v>
      </c>
      <c r="H1532" s="7">
        <v>9</v>
      </c>
      <c r="I1532" s="7">
        <v>9</v>
      </c>
      <c r="J1532" s="9" t="s">
        <v>1490</v>
      </c>
      <c r="K1532" s="7">
        <v>1</v>
      </c>
      <c r="L1532" s="7" t="s">
        <v>52</v>
      </c>
      <c r="M1532" s="7">
        <f t="shared" si="116"/>
        <v>1</v>
      </c>
      <c r="N1532" s="9" t="s">
        <v>36</v>
      </c>
      <c r="O1532" s="7">
        <v>0</v>
      </c>
      <c r="P1532" s="9" t="s">
        <v>63</v>
      </c>
      <c r="Q1532" s="7" t="s">
        <v>38</v>
      </c>
      <c r="R1532" s="7" t="s">
        <v>38</v>
      </c>
      <c r="S1532" s="10" t="s">
        <v>2244</v>
      </c>
      <c r="T1532" s="7"/>
      <c r="U1532" s="7"/>
      <c r="V1532" s="7"/>
      <c r="W1532" s="7"/>
      <c r="X1532" s="7">
        <v>45</v>
      </c>
      <c r="Y1532" s="7">
        <v>55</v>
      </c>
      <c r="Z1532" s="7">
        <v>55</v>
      </c>
      <c r="AA1532" s="7">
        <v>62</v>
      </c>
      <c r="AB1532" s="7">
        <f t="shared" ref="AB1532:AB1542" si="119">(U1532+X1532+Z1532)/3</f>
        <v>33.333333333333336</v>
      </c>
      <c r="AC1532" s="7">
        <f t="shared" si="117"/>
        <v>33.333333333333336</v>
      </c>
      <c r="AD1532" s="7"/>
      <c r="AE1532" s="7">
        <v>3</v>
      </c>
      <c r="AF1532" s="7" t="s">
        <v>40</v>
      </c>
      <c r="AG1532" s="7" t="s">
        <v>1316</v>
      </c>
      <c r="AH1532" s="7" t="s">
        <v>38</v>
      </c>
      <c r="AI1532" s="7"/>
      <c r="AJ1532" s="7"/>
      <c r="AK1532" s="7"/>
      <c r="AL1532" s="9" t="s">
        <v>38</v>
      </c>
      <c r="AM1532" s="7" t="s">
        <v>42</v>
      </c>
      <c r="AN1532" s="7" t="s">
        <v>42</v>
      </c>
      <c r="AO1532" s="15" t="s">
        <v>2736</v>
      </c>
    </row>
    <row r="1533" spans="1:41" s="11" customFormat="1" ht="24" x14ac:dyDescent="0.25">
      <c r="A1533" s="2">
        <v>1532</v>
      </c>
      <c r="B1533" s="7" t="s">
        <v>1235</v>
      </c>
      <c r="C1533" s="7" t="s">
        <v>50</v>
      </c>
      <c r="D1533" s="7">
        <v>71</v>
      </c>
      <c r="E1533" s="7">
        <v>71</v>
      </c>
      <c r="F1533" s="8">
        <v>1</v>
      </c>
      <c r="G1533" s="8">
        <v>1</v>
      </c>
      <c r="H1533" s="7">
        <v>1</v>
      </c>
      <c r="I1533" s="7">
        <v>1</v>
      </c>
      <c r="J1533" s="9" t="s">
        <v>35</v>
      </c>
      <c r="K1533" s="7">
        <v>2</v>
      </c>
      <c r="L1533" s="7" t="s">
        <v>52</v>
      </c>
      <c r="M1533" s="7">
        <f t="shared" si="116"/>
        <v>1</v>
      </c>
      <c r="N1533" s="9" t="s">
        <v>34</v>
      </c>
      <c r="O1533" s="7">
        <v>2</v>
      </c>
      <c r="P1533" s="9" t="s">
        <v>63</v>
      </c>
      <c r="Q1533" s="7" t="s">
        <v>38</v>
      </c>
      <c r="R1533" s="7" t="s">
        <v>38</v>
      </c>
      <c r="S1533" s="10" t="s">
        <v>2245</v>
      </c>
      <c r="T1533" s="7"/>
      <c r="U1533" s="7"/>
      <c r="V1533" s="7"/>
      <c r="W1533" s="7"/>
      <c r="X1533" s="7"/>
      <c r="Y1533" s="7">
        <v>98</v>
      </c>
      <c r="Z1533" s="7">
        <v>98</v>
      </c>
      <c r="AA1533" s="7">
        <v>58</v>
      </c>
      <c r="AB1533" s="7">
        <f t="shared" si="119"/>
        <v>32.666666666666664</v>
      </c>
      <c r="AC1533" s="7">
        <f t="shared" si="117"/>
        <v>32.666666666666664</v>
      </c>
      <c r="AD1533" s="7"/>
      <c r="AE1533" s="7"/>
      <c r="AF1533" s="7"/>
      <c r="AG1533" s="7"/>
      <c r="AH1533" s="7"/>
      <c r="AI1533" s="7"/>
      <c r="AJ1533" s="10" t="s">
        <v>2413</v>
      </c>
      <c r="AK1533" s="7"/>
      <c r="AL1533" s="9"/>
      <c r="AM1533" s="7" t="s">
        <v>42</v>
      </c>
      <c r="AN1533" s="7" t="s">
        <v>42</v>
      </c>
      <c r="AO1533" s="12"/>
    </row>
    <row r="1534" spans="1:41" s="11" customFormat="1" x14ac:dyDescent="0.25">
      <c r="A1534" s="2">
        <v>1533</v>
      </c>
      <c r="B1534" s="7" t="s">
        <v>1235</v>
      </c>
      <c r="C1534" s="7" t="s">
        <v>50</v>
      </c>
      <c r="D1534" s="7">
        <v>19</v>
      </c>
      <c r="E1534" s="7">
        <v>19</v>
      </c>
      <c r="F1534" s="8">
        <v>1</v>
      </c>
      <c r="G1534" s="8">
        <v>1</v>
      </c>
      <c r="H1534" s="7">
        <v>1</v>
      </c>
      <c r="I1534" s="7">
        <v>1</v>
      </c>
      <c r="J1534" s="9" t="s">
        <v>35</v>
      </c>
      <c r="K1534" s="7">
        <v>2</v>
      </c>
      <c r="L1534" s="7" t="s">
        <v>52</v>
      </c>
      <c r="M1534" s="7">
        <f t="shared" si="116"/>
        <v>1</v>
      </c>
      <c r="N1534" s="9" t="s">
        <v>36</v>
      </c>
      <c r="O1534" s="7">
        <v>0</v>
      </c>
      <c r="P1534" s="9" t="s">
        <v>63</v>
      </c>
      <c r="Q1534" s="7" t="s">
        <v>38</v>
      </c>
      <c r="R1534" s="7" t="s">
        <v>38</v>
      </c>
      <c r="S1534" s="10" t="s">
        <v>1931</v>
      </c>
      <c r="T1534" s="7"/>
      <c r="U1534" s="7"/>
      <c r="V1534" s="7"/>
      <c r="W1534" s="7"/>
      <c r="X1534" s="7"/>
      <c r="Y1534" s="7">
        <v>45</v>
      </c>
      <c r="Z1534" s="7">
        <v>45</v>
      </c>
      <c r="AA1534" s="7">
        <v>40</v>
      </c>
      <c r="AB1534" s="7">
        <f t="shared" si="119"/>
        <v>15</v>
      </c>
      <c r="AC1534" s="7">
        <f t="shared" si="117"/>
        <v>15</v>
      </c>
      <c r="AD1534" s="7"/>
      <c r="AE1534" s="7"/>
      <c r="AF1534" s="7"/>
      <c r="AG1534" s="7"/>
      <c r="AH1534" s="7"/>
      <c r="AI1534" s="7"/>
      <c r="AJ1534" s="10" t="s">
        <v>2414</v>
      </c>
      <c r="AK1534" s="7"/>
      <c r="AL1534" s="9"/>
      <c r="AM1534" s="7" t="s">
        <v>42</v>
      </c>
      <c r="AN1534" s="7" t="s">
        <v>42</v>
      </c>
      <c r="AO1534" s="12"/>
    </row>
    <row r="1535" spans="1:41" s="11" customFormat="1" x14ac:dyDescent="0.25">
      <c r="A1535" s="2">
        <v>1534</v>
      </c>
      <c r="B1535" s="7" t="s">
        <v>1235</v>
      </c>
      <c r="C1535" s="7" t="s">
        <v>50</v>
      </c>
      <c r="D1535" s="7">
        <v>13</v>
      </c>
      <c r="E1535" s="7">
        <v>13</v>
      </c>
      <c r="F1535" s="8">
        <v>1</v>
      </c>
      <c r="G1535" s="8">
        <v>1</v>
      </c>
      <c r="H1535" s="7">
        <v>1</v>
      </c>
      <c r="I1535" s="7">
        <v>1</v>
      </c>
      <c r="J1535" s="9" t="s">
        <v>35</v>
      </c>
      <c r="K1535" s="7">
        <v>2</v>
      </c>
      <c r="L1535" s="7" t="s">
        <v>52</v>
      </c>
      <c r="M1535" s="7">
        <f t="shared" si="116"/>
        <v>1</v>
      </c>
      <c r="N1535" s="9" t="s">
        <v>34</v>
      </c>
      <c r="O1535" s="7">
        <v>3</v>
      </c>
      <c r="P1535" s="9" t="s">
        <v>37</v>
      </c>
      <c r="Q1535" s="7" t="s">
        <v>38</v>
      </c>
      <c r="R1535" s="7" t="s">
        <v>38</v>
      </c>
      <c r="S1535" s="13" t="s">
        <v>2032</v>
      </c>
      <c r="T1535" s="7"/>
      <c r="U1535" s="7"/>
      <c r="V1535" s="7"/>
      <c r="W1535" s="7"/>
      <c r="X1535" s="7"/>
      <c r="Y1535" s="7">
        <v>30</v>
      </c>
      <c r="Z1535" s="7">
        <v>30</v>
      </c>
      <c r="AA1535" s="7">
        <v>50</v>
      </c>
      <c r="AB1535" s="7">
        <f t="shared" si="119"/>
        <v>10</v>
      </c>
      <c r="AC1535" s="7">
        <f t="shared" si="117"/>
        <v>10</v>
      </c>
      <c r="AD1535" s="7"/>
      <c r="AE1535" s="7"/>
      <c r="AF1535" s="7"/>
      <c r="AG1535" s="7"/>
      <c r="AH1535" s="7"/>
      <c r="AI1535" s="7"/>
      <c r="AJ1535" s="7"/>
      <c r="AK1535" s="10" t="s">
        <v>2494</v>
      </c>
      <c r="AL1535" s="9"/>
      <c r="AM1535" s="7" t="s">
        <v>71</v>
      </c>
      <c r="AN1535" s="7" t="s">
        <v>71</v>
      </c>
      <c r="AO1535" s="12"/>
    </row>
    <row r="1536" spans="1:41" s="11" customFormat="1" x14ac:dyDescent="0.25">
      <c r="A1536" s="2">
        <v>1535</v>
      </c>
      <c r="B1536" s="7" t="s">
        <v>1235</v>
      </c>
      <c r="C1536" s="7" t="s">
        <v>50</v>
      </c>
      <c r="D1536" s="7" t="s">
        <v>1317</v>
      </c>
      <c r="E1536" s="7">
        <v>26</v>
      </c>
      <c r="F1536" s="8">
        <v>1</v>
      </c>
      <c r="G1536" s="8">
        <v>2</v>
      </c>
      <c r="H1536" s="7">
        <v>2</v>
      </c>
      <c r="I1536" s="7">
        <v>2</v>
      </c>
      <c r="J1536" s="9" t="s">
        <v>35</v>
      </c>
      <c r="K1536" s="7">
        <v>2</v>
      </c>
      <c r="L1536" s="7" t="s">
        <v>52</v>
      </c>
      <c r="M1536" s="7">
        <f t="shared" si="116"/>
        <v>1</v>
      </c>
      <c r="N1536" s="9" t="s">
        <v>34</v>
      </c>
      <c r="O1536" s="7">
        <v>1</v>
      </c>
      <c r="P1536" s="9" t="s">
        <v>63</v>
      </c>
      <c r="Q1536" s="7" t="s">
        <v>38</v>
      </c>
      <c r="R1536" s="7" t="s">
        <v>38</v>
      </c>
      <c r="S1536" s="13" t="s">
        <v>2032</v>
      </c>
      <c r="T1536" s="7"/>
      <c r="U1536" s="7"/>
      <c r="V1536" s="7"/>
      <c r="W1536" s="7"/>
      <c r="X1536" s="7"/>
      <c r="Y1536" s="7">
        <v>40</v>
      </c>
      <c r="Z1536" s="7">
        <v>40</v>
      </c>
      <c r="AA1536" s="7">
        <v>55</v>
      </c>
      <c r="AB1536" s="7">
        <f t="shared" si="119"/>
        <v>13.333333333333334</v>
      </c>
      <c r="AC1536" s="7">
        <f t="shared" si="117"/>
        <v>13.333333333333334</v>
      </c>
      <c r="AD1536" s="7"/>
      <c r="AE1536" s="7"/>
      <c r="AF1536" s="7"/>
      <c r="AG1536" s="7"/>
      <c r="AH1536" s="7"/>
      <c r="AI1536" s="7"/>
      <c r="AJ1536" s="7"/>
      <c r="AK1536" s="7"/>
      <c r="AL1536" s="9"/>
      <c r="AM1536" s="7" t="s">
        <v>42</v>
      </c>
      <c r="AN1536" s="7" t="s">
        <v>42</v>
      </c>
      <c r="AO1536" s="12"/>
    </row>
    <row r="1537" spans="1:41" s="11" customFormat="1" x14ac:dyDescent="0.25">
      <c r="A1537" s="2">
        <v>1536</v>
      </c>
      <c r="B1537" s="7" t="s">
        <v>1235</v>
      </c>
      <c r="C1537" s="7" t="s">
        <v>50</v>
      </c>
      <c r="D1537" s="7">
        <v>7</v>
      </c>
      <c r="E1537" s="7">
        <v>7</v>
      </c>
      <c r="F1537" s="8">
        <v>1</v>
      </c>
      <c r="G1537" s="8">
        <v>1</v>
      </c>
      <c r="H1537" s="7">
        <v>1</v>
      </c>
      <c r="I1537" s="7">
        <v>1</v>
      </c>
      <c r="J1537" s="9" t="s">
        <v>35</v>
      </c>
      <c r="K1537" s="7">
        <v>2</v>
      </c>
      <c r="L1537" s="7" t="s">
        <v>52</v>
      </c>
      <c r="M1537" s="7">
        <f t="shared" si="116"/>
        <v>1</v>
      </c>
      <c r="N1537" s="9" t="s">
        <v>34</v>
      </c>
      <c r="O1537" s="7">
        <v>0</v>
      </c>
      <c r="P1537" s="9" t="s">
        <v>63</v>
      </c>
      <c r="Q1537" s="7" t="s">
        <v>38</v>
      </c>
      <c r="R1537" s="7"/>
      <c r="S1537" s="10" t="s">
        <v>2057</v>
      </c>
      <c r="T1537" s="7"/>
      <c r="U1537" s="7"/>
      <c r="V1537" s="7"/>
      <c r="W1537" s="7"/>
      <c r="X1537" s="7"/>
      <c r="Y1537" s="7">
        <v>15</v>
      </c>
      <c r="Z1537" s="7">
        <v>15</v>
      </c>
      <c r="AA1537" s="7">
        <v>60</v>
      </c>
      <c r="AB1537" s="7">
        <f t="shared" si="119"/>
        <v>5</v>
      </c>
      <c r="AC1537" s="7">
        <f t="shared" si="117"/>
        <v>5</v>
      </c>
      <c r="AD1537" s="7"/>
      <c r="AE1537" s="7"/>
      <c r="AF1537" s="7"/>
      <c r="AG1537" s="7"/>
      <c r="AH1537" s="7"/>
      <c r="AI1537" s="7"/>
      <c r="AJ1537" s="7"/>
      <c r="AK1537" s="7"/>
      <c r="AL1537" s="9"/>
      <c r="AM1537" s="7" t="s">
        <v>71</v>
      </c>
      <c r="AN1537" s="7" t="s">
        <v>71</v>
      </c>
      <c r="AO1537" s="12"/>
    </row>
    <row r="1538" spans="1:41" s="11" customFormat="1" ht="24" x14ac:dyDescent="0.25">
      <c r="A1538" s="2">
        <v>1537</v>
      </c>
      <c r="B1538" s="7" t="s">
        <v>1235</v>
      </c>
      <c r="C1538" s="7" t="s">
        <v>78</v>
      </c>
      <c r="D1538" s="7">
        <v>9</v>
      </c>
      <c r="E1538" s="7">
        <v>9</v>
      </c>
      <c r="F1538" s="8">
        <v>1</v>
      </c>
      <c r="G1538" s="8">
        <v>1</v>
      </c>
      <c r="H1538" s="7">
        <v>1</v>
      </c>
      <c r="I1538" s="7">
        <v>1</v>
      </c>
      <c r="J1538" s="9" t="s">
        <v>35</v>
      </c>
      <c r="K1538" s="7">
        <v>1</v>
      </c>
      <c r="L1538" s="7" t="s">
        <v>52</v>
      </c>
      <c r="M1538" s="7">
        <f t="shared" ref="M1538:M1601" si="120">IF(L1538="n",F1538,0)</f>
        <v>1</v>
      </c>
      <c r="N1538" s="9" t="s">
        <v>36</v>
      </c>
      <c r="O1538" s="7">
        <v>1</v>
      </c>
      <c r="P1538" s="9" t="s">
        <v>37</v>
      </c>
      <c r="Q1538" s="7" t="s">
        <v>38</v>
      </c>
      <c r="R1538" s="7" t="s">
        <v>38</v>
      </c>
      <c r="S1538" s="10" t="s">
        <v>1922</v>
      </c>
      <c r="T1538" s="7">
        <v>10</v>
      </c>
      <c r="U1538" s="7">
        <v>10</v>
      </c>
      <c r="V1538" s="7">
        <v>100</v>
      </c>
      <c r="W1538" s="7" t="s">
        <v>83</v>
      </c>
      <c r="X1538" s="7"/>
      <c r="Y1538" s="7"/>
      <c r="Z1538" s="7"/>
      <c r="AA1538" s="7"/>
      <c r="AB1538" s="7">
        <f t="shared" si="119"/>
        <v>3.3333333333333335</v>
      </c>
      <c r="AC1538" s="7">
        <f t="shared" ref="AC1538:AC1601" si="121">IF(L1538="n",AB1538,0)</f>
        <v>3.3333333333333335</v>
      </c>
      <c r="AD1538" s="7"/>
      <c r="AE1538" s="7"/>
      <c r="AF1538" s="7"/>
      <c r="AG1538" s="7"/>
      <c r="AH1538" s="7"/>
      <c r="AI1538" s="7"/>
      <c r="AJ1538" s="7"/>
      <c r="AK1538" s="7" t="s">
        <v>252</v>
      </c>
      <c r="AL1538" s="9"/>
      <c r="AM1538" s="7" t="s">
        <v>42</v>
      </c>
      <c r="AN1538" s="7" t="s">
        <v>42</v>
      </c>
      <c r="AO1538" s="12"/>
    </row>
    <row r="1539" spans="1:41" s="11" customFormat="1" ht="24" x14ac:dyDescent="0.25">
      <c r="A1539" s="2">
        <v>1538</v>
      </c>
      <c r="B1539" s="7" t="s">
        <v>1235</v>
      </c>
      <c r="C1539" s="7" t="s">
        <v>78</v>
      </c>
      <c r="D1539" s="7">
        <v>1</v>
      </c>
      <c r="E1539" s="7">
        <v>1</v>
      </c>
      <c r="F1539" s="8">
        <v>1</v>
      </c>
      <c r="G1539" s="8">
        <v>1</v>
      </c>
      <c r="H1539" s="7">
        <v>1</v>
      </c>
      <c r="I1539" s="7">
        <v>1</v>
      </c>
      <c r="J1539" s="9" t="s">
        <v>35</v>
      </c>
      <c r="K1539" s="7">
        <v>2</v>
      </c>
      <c r="L1539" s="7" t="s">
        <v>52</v>
      </c>
      <c r="M1539" s="7">
        <f t="shared" si="120"/>
        <v>1</v>
      </c>
      <c r="N1539" s="9" t="s">
        <v>34</v>
      </c>
      <c r="O1539" s="7">
        <v>2</v>
      </c>
      <c r="P1539" s="9" t="s">
        <v>34</v>
      </c>
      <c r="Q1539" s="7" t="s">
        <v>38</v>
      </c>
      <c r="R1539" s="7" t="s">
        <v>38</v>
      </c>
      <c r="S1539" s="10" t="s">
        <v>2246</v>
      </c>
      <c r="T1539" s="7">
        <v>7</v>
      </c>
      <c r="U1539" s="7">
        <v>7</v>
      </c>
      <c r="V1539" s="7">
        <v>90</v>
      </c>
      <c r="W1539" s="7" t="s">
        <v>83</v>
      </c>
      <c r="X1539" s="7"/>
      <c r="Y1539" s="7"/>
      <c r="Z1539" s="7"/>
      <c r="AA1539" s="7"/>
      <c r="AB1539" s="7">
        <f t="shared" si="119"/>
        <v>2.3333333333333335</v>
      </c>
      <c r="AC1539" s="7">
        <f t="shared" si="121"/>
        <v>2.3333333333333335</v>
      </c>
      <c r="AD1539" s="7"/>
      <c r="AE1539" s="7"/>
      <c r="AF1539" s="7"/>
      <c r="AG1539" s="7"/>
      <c r="AH1539" s="7"/>
      <c r="AI1539" s="7"/>
      <c r="AJ1539" s="7"/>
      <c r="AK1539" s="7"/>
      <c r="AL1539" s="9"/>
      <c r="AM1539" s="7" t="s">
        <v>42</v>
      </c>
      <c r="AN1539" s="7" t="s">
        <v>42</v>
      </c>
      <c r="AO1539" s="12"/>
    </row>
    <row r="1540" spans="1:41" s="11" customFormat="1" x14ac:dyDescent="0.25">
      <c r="A1540" s="2">
        <v>1539</v>
      </c>
      <c r="B1540" s="7" t="s">
        <v>1235</v>
      </c>
      <c r="C1540" s="7" t="s">
        <v>104</v>
      </c>
      <c r="D1540" s="7">
        <v>4</v>
      </c>
      <c r="E1540" s="7">
        <v>4</v>
      </c>
      <c r="F1540" s="8">
        <v>1</v>
      </c>
      <c r="G1540" s="8">
        <v>1</v>
      </c>
      <c r="H1540" s="7">
        <v>1</v>
      </c>
      <c r="I1540" s="7">
        <v>1</v>
      </c>
      <c r="J1540" s="10" t="s">
        <v>35</v>
      </c>
      <c r="K1540" s="7">
        <v>2</v>
      </c>
      <c r="L1540" s="7" t="s">
        <v>52</v>
      </c>
      <c r="M1540" s="7">
        <f t="shared" si="120"/>
        <v>1</v>
      </c>
      <c r="N1540" s="9" t="s">
        <v>36</v>
      </c>
      <c r="O1540" s="7">
        <v>0</v>
      </c>
      <c r="P1540" s="9" t="s">
        <v>63</v>
      </c>
      <c r="Q1540" s="7" t="s">
        <v>38</v>
      </c>
      <c r="R1540" s="7" t="s">
        <v>38</v>
      </c>
      <c r="S1540" s="10" t="s">
        <v>2247</v>
      </c>
      <c r="T1540" s="7"/>
      <c r="U1540" s="7"/>
      <c r="V1540" s="7"/>
      <c r="W1540" s="7"/>
      <c r="X1540" s="7">
        <v>3</v>
      </c>
      <c r="Y1540" s="7"/>
      <c r="Z1540" s="7"/>
      <c r="AA1540" s="7"/>
      <c r="AB1540" s="7">
        <f t="shared" si="119"/>
        <v>1</v>
      </c>
      <c r="AC1540" s="7">
        <f t="shared" si="121"/>
        <v>1</v>
      </c>
      <c r="AD1540" s="7"/>
      <c r="AE1540" s="7">
        <v>1</v>
      </c>
      <c r="AF1540" s="7"/>
      <c r="AG1540" s="7" t="s">
        <v>1318</v>
      </c>
      <c r="AH1540" s="7" t="s">
        <v>38</v>
      </c>
      <c r="AI1540" s="7"/>
      <c r="AJ1540" s="7"/>
      <c r="AK1540" s="7"/>
      <c r="AL1540" s="9"/>
      <c r="AM1540" s="7" t="s">
        <v>42</v>
      </c>
      <c r="AN1540" s="7" t="s">
        <v>42</v>
      </c>
      <c r="AO1540" s="12"/>
    </row>
    <row r="1541" spans="1:41" s="11" customFormat="1" x14ac:dyDescent="0.25">
      <c r="A1541" s="2">
        <v>1540</v>
      </c>
      <c r="B1541" s="7" t="s">
        <v>1235</v>
      </c>
      <c r="C1541" s="7" t="s">
        <v>89</v>
      </c>
      <c r="D1541" s="7" t="s">
        <v>1319</v>
      </c>
      <c r="E1541" s="7">
        <v>19</v>
      </c>
      <c r="F1541" s="8">
        <v>1</v>
      </c>
      <c r="G1541" s="8">
        <v>4</v>
      </c>
      <c r="H1541" s="7" t="s">
        <v>124</v>
      </c>
      <c r="I1541" s="7">
        <v>4</v>
      </c>
      <c r="J1541" s="9" t="s">
        <v>35</v>
      </c>
      <c r="K1541" s="7">
        <v>2</v>
      </c>
      <c r="L1541" s="7" t="s">
        <v>52</v>
      </c>
      <c r="M1541" s="7">
        <f t="shared" si="120"/>
        <v>1</v>
      </c>
      <c r="N1541" s="9" t="s">
        <v>34</v>
      </c>
      <c r="O1541" s="7">
        <v>1</v>
      </c>
      <c r="P1541" s="9" t="s">
        <v>63</v>
      </c>
      <c r="Q1541" s="7" t="s">
        <v>52</v>
      </c>
      <c r="R1541" s="7" t="s">
        <v>38</v>
      </c>
      <c r="S1541" s="7"/>
      <c r="T1541" s="7"/>
      <c r="U1541" s="7"/>
      <c r="V1541" s="7"/>
      <c r="W1541" s="7"/>
      <c r="X1541" s="7">
        <v>3</v>
      </c>
      <c r="Y1541" s="7"/>
      <c r="Z1541" s="7"/>
      <c r="AA1541" s="7"/>
      <c r="AB1541" s="7">
        <f t="shared" si="119"/>
        <v>1</v>
      </c>
      <c r="AC1541" s="7">
        <f t="shared" si="121"/>
        <v>1</v>
      </c>
      <c r="AD1541" s="7"/>
      <c r="AE1541" s="7"/>
      <c r="AF1541" s="7"/>
      <c r="AG1541" s="7"/>
      <c r="AH1541" s="7"/>
      <c r="AI1541" s="7"/>
      <c r="AJ1541" s="10" t="s">
        <v>2415</v>
      </c>
      <c r="AK1541" s="7"/>
      <c r="AL1541" s="9"/>
      <c r="AM1541" s="7" t="s">
        <v>71</v>
      </c>
      <c r="AN1541" s="7" t="s">
        <v>71</v>
      </c>
      <c r="AO1541" s="12"/>
    </row>
    <row r="1542" spans="1:41" s="11" customFormat="1" x14ac:dyDescent="0.25">
      <c r="A1542" s="2">
        <v>1541</v>
      </c>
      <c r="B1542" s="7" t="s">
        <v>1235</v>
      </c>
      <c r="C1542" s="7" t="s">
        <v>89</v>
      </c>
      <c r="D1542" s="7" t="s">
        <v>1320</v>
      </c>
      <c r="E1542" s="7">
        <f>10+12+9+6+3</f>
        <v>40</v>
      </c>
      <c r="F1542" s="8">
        <v>10</v>
      </c>
      <c r="G1542" s="8">
        <v>14</v>
      </c>
      <c r="H1542" s="7" t="s">
        <v>1001</v>
      </c>
      <c r="I1542" s="7">
        <v>14</v>
      </c>
      <c r="J1542" s="9" t="s">
        <v>35</v>
      </c>
      <c r="K1542" s="7">
        <v>2</v>
      </c>
      <c r="L1542" s="7" t="s">
        <v>52</v>
      </c>
      <c r="M1542" s="7">
        <f t="shared" si="120"/>
        <v>10</v>
      </c>
      <c r="N1542" s="9"/>
      <c r="O1542" s="7"/>
      <c r="P1542" s="9"/>
      <c r="Q1542" s="7"/>
      <c r="R1542" s="7"/>
      <c r="S1542" s="7"/>
      <c r="T1542" s="7"/>
      <c r="U1542" s="7"/>
      <c r="V1542" s="7"/>
      <c r="W1542" s="7"/>
      <c r="X1542" s="7">
        <v>3</v>
      </c>
      <c r="Y1542" s="7"/>
      <c r="Z1542" s="7"/>
      <c r="AA1542" s="7"/>
      <c r="AB1542" s="7">
        <f t="shared" si="119"/>
        <v>1</v>
      </c>
      <c r="AC1542" s="7">
        <f t="shared" si="121"/>
        <v>1</v>
      </c>
      <c r="AD1542" s="7"/>
      <c r="AE1542" s="7"/>
      <c r="AF1542" s="7"/>
      <c r="AG1542" s="7"/>
      <c r="AH1542" s="7"/>
      <c r="AI1542" s="7"/>
      <c r="AJ1542" s="7"/>
      <c r="AK1542" s="7"/>
      <c r="AL1542" s="9"/>
      <c r="AM1542" s="7" t="s">
        <v>71</v>
      </c>
      <c r="AN1542" s="7" t="s">
        <v>71</v>
      </c>
      <c r="AO1542" s="12"/>
    </row>
    <row r="1543" spans="1:41" s="11" customFormat="1" x14ac:dyDescent="0.25">
      <c r="A1543" s="2">
        <v>1542</v>
      </c>
      <c r="B1543" s="7" t="s">
        <v>1235</v>
      </c>
      <c r="C1543" s="7" t="s">
        <v>104</v>
      </c>
      <c r="D1543" s="7">
        <v>14</v>
      </c>
      <c r="E1543" s="7">
        <v>14</v>
      </c>
      <c r="F1543" s="8">
        <v>1</v>
      </c>
      <c r="G1543" s="8">
        <v>1</v>
      </c>
      <c r="H1543" s="7">
        <v>1</v>
      </c>
      <c r="I1543" s="7">
        <v>1</v>
      </c>
      <c r="J1543" s="9" t="s">
        <v>70</v>
      </c>
      <c r="K1543" s="7">
        <v>1</v>
      </c>
      <c r="L1543" s="7" t="s">
        <v>52</v>
      </c>
      <c r="M1543" s="7">
        <f t="shared" si="120"/>
        <v>1</v>
      </c>
      <c r="N1543" s="9" t="s">
        <v>36</v>
      </c>
      <c r="O1543" s="7">
        <v>0</v>
      </c>
      <c r="P1543" s="9" t="s">
        <v>63</v>
      </c>
      <c r="Q1543" s="7" t="s">
        <v>38</v>
      </c>
      <c r="R1543" s="7" t="s">
        <v>38</v>
      </c>
      <c r="S1543" s="7"/>
      <c r="T1543" s="7"/>
      <c r="U1543" s="7"/>
      <c r="V1543" s="7"/>
      <c r="W1543" s="7"/>
      <c r="X1543" s="7"/>
      <c r="Y1543" s="7"/>
      <c r="Z1543" s="7"/>
      <c r="AA1543" s="7"/>
      <c r="AB1543" s="7">
        <v>0.33333333333333298</v>
      </c>
      <c r="AC1543" s="7">
        <f t="shared" si="121"/>
        <v>0.33333333333333298</v>
      </c>
      <c r="AD1543" s="7"/>
      <c r="AE1543" s="7">
        <v>1</v>
      </c>
      <c r="AF1543" s="7" t="s">
        <v>40</v>
      </c>
      <c r="AG1543" s="7" t="s">
        <v>742</v>
      </c>
      <c r="AH1543" s="7"/>
      <c r="AI1543" s="7"/>
      <c r="AJ1543" s="7"/>
      <c r="AK1543" s="7"/>
      <c r="AL1543" s="9"/>
      <c r="AM1543" s="7" t="s">
        <v>71</v>
      </c>
      <c r="AN1543" s="7" t="s">
        <v>71</v>
      </c>
      <c r="AO1543" s="12"/>
    </row>
    <row r="1544" spans="1:41" s="11" customFormat="1" ht="24" x14ac:dyDescent="0.25">
      <c r="A1544" s="2">
        <v>1543</v>
      </c>
      <c r="B1544" s="7" t="s">
        <v>1235</v>
      </c>
      <c r="C1544" s="7" t="s">
        <v>78</v>
      </c>
      <c r="D1544" s="7" t="s">
        <v>442</v>
      </c>
      <c r="E1544" s="7">
        <v>10</v>
      </c>
      <c r="F1544" s="8">
        <v>1</v>
      </c>
      <c r="G1544" s="8">
        <v>2</v>
      </c>
      <c r="H1544" s="7">
        <v>2</v>
      </c>
      <c r="I1544" s="7">
        <v>2</v>
      </c>
      <c r="J1544" s="9" t="s">
        <v>70</v>
      </c>
      <c r="K1544" s="7">
        <v>2</v>
      </c>
      <c r="L1544" s="7" t="s">
        <v>52</v>
      </c>
      <c r="M1544" s="7">
        <f t="shared" si="120"/>
        <v>1</v>
      </c>
      <c r="N1544" s="9" t="s">
        <v>82</v>
      </c>
      <c r="O1544" s="7">
        <v>0</v>
      </c>
      <c r="P1544" s="9" t="s">
        <v>34</v>
      </c>
      <c r="Q1544" s="7" t="s">
        <v>38</v>
      </c>
      <c r="R1544" s="7" t="s">
        <v>38</v>
      </c>
      <c r="S1544" s="10" t="s">
        <v>2248</v>
      </c>
      <c r="T1544" s="7">
        <v>15</v>
      </c>
      <c r="U1544" s="7">
        <v>15</v>
      </c>
      <c r="V1544" s="7">
        <v>120</v>
      </c>
      <c r="W1544" s="7" t="s">
        <v>83</v>
      </c>
      <c r="X1544" s="7"/>
      <c r="Y1544" s="7"/>
      <c r="Z1544" s="7"/>
      <c r="AA1544" s="7"/>
      <c r="AB1544" s="7">
        <f>(U1544+X1544+Z1544)/3</f>
        <v>5</v>
      </c>
      <c r="AC1544" s="7">
        <f t="shared" si="121"/>
        <v>5</v>
      </c>
      <c r="AD1544" s="7"/>
      <c r="AE1544" s="7"/>
      <c r="AF1544" s="7"/>
      <c r="AG1544" s="7"/>
      <c r="AH1544" s="7"/>
      <c r="AI1544" s="7"/>
      <c r="AJ1544" s="7"/>
      <c r="AK1544" s="10" t="s">
        <v>2495</v>
      </c>
      <c r="AL1544" s="9"/>
      <c r="AM1544" s="7" t="s">
        <v>71</v>
      </c>
      <c r="AN1544" s="7" t="s">
        <v>71</v>
      </c>
      <c r="AO1544" s="12"/>
    </row>
    <row r="1545" spans="1:41" s="11" customFormat="1" x14ac:dyDescent="0.25">
      <c r="A1545" s="2">
        <v>1544</v>
      </c>
      <c r="B1545" s="7" t="s">
        <v>1235</v>
      </c>
      <c r="C1545" s="7" t="s">
        <v>119</v>
      </c>
      <c r="D1545" s="7">
        <v>1</v>
      </c>
      <c r="E1545" s="7">
        <v>1</v>
      </c>
      <c r="F1545" s="8">
        <v>1</v>
      </c>
      <c r="G1545" s="8">
        <v>1</v>
      </c>
      <c r="H1545" s="7">
        <v>1</v>
      </c>
      <c r="I1545" s="7">
        <v>1</v>
      </c>
      <c r="J1545" s="9" t="s">
        <v>70</v>
      </c>
      <c r="K1545" s="7">
        <v>1</v>
      </c>
      <c r="L1545" s="7" t="s">
        <v>52</v>
      </c>
      <c r="M1545" s="7">
        <f t="shared" si="120"/>
        <v>1</v>
      </c>
      <c r="N1545" s="9" t="s">
        <v>34</v>
      </c>
      <c r="O1545" s="7">
        <v>0</v>
      </c>
      <c r="P1545" s="9" t="s">
        <v>37</v>
      </c>
      <c r="Q1545" s="7"/>
      <c r="R1545" s="7" t="s">
        <v>38</v>
      </c>
      <c r="S1545" s="7" t="s">
        <v>1321</v>
      </c>
      <c r="T1545" s="7"/>
      <c r="U1545" s="7"/>
      <c r="V1545" s="7"/>
      <c r="W1545" s="7"/>
      <c r="X1545" s="7"/>
      <c r="Y1545" s="7"/>
      <c r="Z1545" s="7"/>
      <c r="AA1545" s="7"/>
      <c r="AB1545" s="7">
        <v>0.33333333333333298</v>
      </c>
      <c r="AC1545" s="7">
        <f t="shared" si="121"/>
        <v>0.33333333333333298</v>
      </c>
      <c r="AD1545" s="7">
        <v>1</v>
      </c>
      <c r="AE1545" s="7"/>
      <c r="AF1545" s="7" t="s">
        <v>40</v>
      </c>
      <c r="AG1545" s="7" t="s">
        <v>1322</v>
      </c>
      <c r="AH1545" s="7"/>
      <c r="AI1545" s="7"/>
      <c r="AJ1545" s="7"/>
      <c r="AK1545" s="7"/>
      <c r="AL1545" s="9"/>
      <c r="AM1545" s="7" t="s">
        <v>71</v>
      </c>
      <c r="AN1545" s="7" t="s">
        <v>71</v>
      </c>
      <c r="AO1545" s="12"/>
    </row>
    <row r="1546" spans="1:41" s="11" customFormat="1" x14ac:dyDescent="0.25">
      <c r="A1546" s="2">
        <v>1545</v>
      </c>
      <c r="B1546" s="7" t="s">
        <v>1235</v>
      </c>
      <c r="C1546" s="7" t="s">
        <v>89</v>
      </c>
      <c r="D1546" s="7" t="s">
        <v>1323</v>
      </c>
      <c r="E1546" s="7">
        <f>11+13+9+7+9+8+3</f>
        <v>60</v>
      </c>
      <c r="F1546" s="8">
        <v>17</v>
      </c>
      <c r="G1546" s="8">
        <v>17</v>
      </c>
      <c r="H1546" s="7" t="s">
        <v>768</v>
      </c>
      <c r="I1546" s="7">
        <v>17</v>
      </c>
      <c r="J1546" s="9" t="s">
        <v>70</v>
      </c>
      <c r="K1546" s="7">
        <v>1</v>
      </c>
      <c r="L1546" s="7" t="s">
        <v>52</v>
      </c>
      <c r="M1546" s="7">
        <f t="shared" si="120"/>
        <v>17</v>
      </c>
      <c r="N1546" s="9"/>
      <c r="O1546" s="7"/>
      <c r="P1546" s="9"/>
      <c r="Q1546" s="7"/>
      <c r="R1546" s="7"/>
      <c r="S1546" s="7"/>
      <c r="T1546" s="7"/>
      <c r="U1546" s="7"/>
      <c r="V1546" s="7"/>
      <c r="W1546" s="7"/>
      <c r="X1546" s="7">
        <v>3</v>
      </c>
      <c r="Y1546" s="7"/>
      <c r="Z1546" s="7"/>
      <c r="AA1546" s="7"/>
      <c r="AB1546" s="7">
        <f t="shared" ref="AB1546:AB1574" si="122">(U1546+X1546+Z1546)/3</f>
        <v>1</v>
      </c>
      <c r="AC1546" s="7">
        <f t="shared" si="121"/>
        <v>1</v>
      </c>
      <c r="AD1546" s="7"/>
      <c r="AE1546" s="7"/>
      <c r="AF1546" s="7"/>
      <c r="AG1546" s="7"/>
      <c r="AH1546" s="7"/>
      <c r="AI1546" s="7"/>
      <c r="AJ1546" s="7"/>
      <c r="AK1546" s="7"/>
      <c r="AL1546" s="9"/>
      <c r="AM1546" s="7" t="s">
        <v>71</v>
      </c>
      <c r="AN1546" s="7" t="s">
        <v>71</v>
      </c>
      <c r="AO1546" s="12"/>
    </row>
    <row r="1547" spans="1:41" s="11" customFormat="1" x14ac:dyDescent="0.25">
      <c r="A1547" s="2">
        <v>1546</v>
      </c>
      <c r="B1547" s="7" t="s">
        <v>1235</v>
      </c>
      <c r="C1547" s="7" t="s">
        <v>50</v>
      </c>
      <c r="D1547" s="7">
        <v>110</v>
      </c>
      <c r="E1547" s="7">
        <v>110</v>
      </c>
      <c r="F1547" s="8">
        <v>1</v>
      </c>
      <c r="G1547" s="8">
        <v>1</v>
      </c>
      <c r="H1547" s="7">
        <v>1</v>
      </c>
      <c r="I1547" s="7">
        <v>1</v>
      </c>
      <c r="J1547" s="9" t="s">
        <v>77</v>
      </c>
      <c r="K1547" s="7">
        <v>1</v>
      </c>
      <c r="L1547" s="7" t="s">
        <v>52</v>
      </c>
      <c r="M1547" s="7">
        <f t="shared" si="120"/>
        <v>1</v>
      </c>
      <c r="N1547" s="9" t="s">
        <v>36</v>
      </c>
      <c r="O1547" s="7">
        <v>0</v>
      </c>
      <c r="P1547" s="9" t="s">
        <v>34</v>
      </c>
      <c r="Q1547" s="7" t="s">
        <v>38</v>
      </c>
      <c r="R1547" s="7" t="s">
        <v>38</v>
      </c>
      <c r="S1547" s="10" t="s">
        <v>2249</v>
      </c>
      <c r="T1547" s="7"/>
      <c r="U1547" s="7"/>
      <c r="V1547" s="7"/>
      <c r="W1547" s="7"/>
      <c r="X1547" s="7">
        <v>5</v>
      </c>
      <c r="Y1547" s="7">
        <v>100</v>
      </c>
      <c r="Z1547" s="7">
        <v>100</v>
      </c>
      <c r="AA1547" s="7">
        <v>64</v>
      </c>
      <c r="AB1547" s="7">
        <f t="shared" si="122"/>
        <v>35</v>
      </c>
      <c r="AC1547" s="7">
        <f t="shared" si="121"/>
        <v>35</v>
      </c>
      <c r="AD1547" s="7"/>
      <c r="AE1547" s="7">
        <v>1</v>
      </c>
      <c r="AF1547" s="7"/>
      <c r="AG1547" s="7" t="s">
        <v>744</v>
      </c>
      <c r="AH1547" s="7"/>
      <c r="AI1547" s="7"/>
      <c r="AJ1547" s="7"/>
      <c r="AK1547" s="7"/>
      <c r="AL1547" s="9"/>
      <c r="AM1547" s="7" t="s">
        <v>42</v>
      </c>
      <c r="AN1547" s="7" t="s">
        <v>42</v>
      </c>
      <c r="AO1547" s="12" t="s">
        <v>1324</v>
      </c>
    </row>
    <row r="1548" spans="1:41" s="11" customFormat="1" ht="24" x14ac:dyDescent="0.25">
      <c r="A1548" s="2">
        <v>1547</v>
      </c>
      <c r="B1548" s="7" t="s">
        <v>1235</v>
      </c>
      <c r="C1548" s="7" t="s">
        <v>107</v>
      </c>
      <c r="D1548" s="7" t="s">
        <v>1325</v>
      </c>
      <c r="E1548" s="7">
        <f>100+20+4</f>
        <v>124</v>
      </c>
      <c r="F1548" s="8">
        <v>1</v>
      </c>
      <c r="G1548" s="8">
        <v>5</v>
      </c>
      <c r="H1548" s="7" t="s">
        <v>171</v>
      </c>
      <c r="I1548" s="7">
        <v>5</v>
      </c>
      <c r="J1548" s="9" t="s">
        <v>77</v>
      </c>
      <c r="K1548" s="7">
        <v>1</v>
      </c>
      <c r="L1548" s="7" t="s">
        <v>52</v>
      </c>
      <c r="M1548" s="7">
        <f t="shared" si="120"/>
        <v>1</v>
      </c>
      <c r="N1548" s="9" t="s">
        <v>36</v>
      </c>
      <c r="O1548" s="7">
        <v>0</v>
      </c>
      <c r="P1548" s="9" t="s">
        <v>63</v>
      </c>
      <c r="Q1548" s="7" t="s">
        <v>38</v>
      </c>
      <c r="R1548" s="7" t="s">
        <v>38</v>
      </c>
      <c r="S1548" s="10" t="s">
        <v>2250</v>
      </c>
      <c r="T1548" s="7"/>
      <c r="U1548" s="7"/>
      <c r="V1548" s="7"/>
      <c r="W1548" s="7"/>
      <c r="X1548" s="7">
        <v>3</v>
      </c>
      <c r="Y1548" s="7">
        <v>65</v>
      </c>
      <c r="Z1548" s="7">
        <v>65</v>
      </c>
      <c r="AA1548" s="7">
        <v>59</v>
      </c>
      <c r="AB1548" s="7">
        <f t="shared" si="122"/>
        <v>22.666666666666668</v>
      </c>
      <c r="AC1548" s="7">
        <f t="shared" si="121"/>
        <v>22.666666666666668</v>
      </c>
      <c r="AD1548" s="7"/>
      <c r="AE1548" s="7"/>
      <c r="AF1548" s="7"/>
      <c r="AG1548" s="7"/>
      <c r="AH1548" s="7"/>
      <c r="AI1548" s="7"/>
      <c r="AJ1548" s="10" t="s">
        <v>2416</v>
      </c>
      <c r="AK1548" s="7"/>
      <c r="AL1548" s="9"/>
      <c r="AM1548" s="7" t="s">
        <v>42</v>
      </c>
      <c r="AN1548" s="7" t="s">
        <v>42</v>
      </c>
      <c r="AO1548" s="12"/>
    </row>
    <row r="1549" spans="1:41" s="11" customFormat="1" x14ac:dyDescent="0.25">
      <c r="A1549" s="2">
        <v>1548</v>
      </c>
      <c r="B1549" s="7" t="s">
        <v>1235</v>
      </c>
      <c r="C1549" s="7" t="s">
        <v>50</v>
      </c>
      <c r="D1549" s="7">
        <v>14</v>
      </c>
      <c r="E1549" s="7">
        <v>14</v>
      </c>
      <c r="F1549" s="8">
        <v>1</v>
      </c>
      <c r="G1549" s="8">
        <v>1</v>
      </c>
      <c r="H1549" s="7">
        <v>1</v>
      </c>
      <c r="I1549" s="7">
        <v>1</v>
      </c>
      <c r="J1549" s="9" t="s">
        <v>77</v>
      </c>
      <c r="K1549" s="7">
        <v>1</v>
      </c>
      <c r="L1549" s="7" t="s">
        <v>52</v>
      </c>
      <c r="M1549" s="7">
        <f t="shared" si="120"/>
        <v>1</v>
      </c>
      <c r="N1549" s="9"/>
      <c r="O1549" s="7"/>
      <c r="P1549" s="9"/>
      <c r="Q1549" s="7" t="s">
        <v>38</v>
      </c>
      <c r="R1549" s="7" t="s">
        <v>38</v>
      </c>
      <c r="S1549" s="10" t="s">
        <v>2251</v>
      </c>
      <c r="T1549" s="7"/>
      <c r="U1549" s="7"/>
      <c r="V1549" s="7"/>
      <c r="W1549" s="7"/>
      <c r="X1549" s="7"/>
      <c r="Y1549" s="7">
        <v>15</v>
      </c>
      <c r="Z1549" s="7">
        <v>15</v>
      </c>
      <c r="AA1549" s="7">
        <v>70</v>
      </c>
      <c r="AB1549" s="7">
        <f t="shared" si="122"/>
        <v>5</v>
      </c>
      <c r="AC1549" s="7">
        <f t="shared" si="121"/>
        <v>5</v>
      </c>
      <c r="AD1549" s="7"/>
      <c r="AE1549" s="7"/>
      <c r="AF1549" s="7"/>
      <c r="AG1549" s="7"/>
      <c r="AH1549" s="7"/>
      <c r="AI1549" s="10" t="s">
        <v>1645</v>
      </c>
      <c r="AJ1549" s="7"/>
      <c r="AK1549" s="7"/>
      <c r="AL1549" s="9"/>
      <c r="AM1549" s="7" t="s">
        <v>42</v>
      </c>
      <c r="AN1549" s="7" t="s">
        <v>42</v>
      </c>
      <c r="AO1549" s="7"/>
    </row>
    <row r="1550" spans="1:41" s="11" customFormat="1" x14ac:dyDescent="0.25">
      <c r="A1550" s="2">
        <v>1549</v>
      </c>
      <c r="B1550" s="7" t="s">
        <v>1235</v>
      </c>
      <c r="C1550" s="7" t="s">
        <v>50</v>
      </c>
      <c r="D1550" s="7">
        <v>13</v>
      </c>
      <c r="E1550" s="7">
        <v>13</v>
      </c>
      <c r="F1550" s="8">
        <v>1</v>
      </c>
      <c r="G1550" s="8">
        <v>1</v>
      </c>
      <c r="H1550" s="7">
        <v>1</v>
      </c>
      <c r="I1550" s="7">
        <v>1</v>
      </c>
      <c r="J1550" s="9" t="s">
        <v>77</v>
      </c>
      <c r="K1550" s="7">
        <v>1</v>
      </c>
      <c r="L1550" s="7" t="s">
        <v>38</v>
      </c>
      <c r="M1550" s="7">
        <f t="shared" si="120"/>
        <v>0</v>
      </c>
      <c r="N1550" s="9" t="s">
        <v>82</v>
      </c>
      <c r="O1550" s="7">
        <v>0</v>
      </c>
      <c r="P1550" s="9" t="s">
        <v>36</v>
      </c>
      <c r="Q1550" s="7" t="s">
        <v>38</v>
      </c>
      <c r="R1550" s="7" t="s">
        <v>38</v>
      </c>
      <c r="S1550" s="10" t="s">
        <v>2252</v>
      </c>
      <c r="T1550" s="7"/>
      <c r="U1550" s="7"/>
      <c r="V1550" s="7"/>
      <c r="W1550" s="7"/>
      <c r="X1550" s="7"/>
      <c r="Y1550" s="7">
        <v>10</v>
      </c>
      <c r="Z1550" s="7">
        <v>10</v>
      </c>
      <c r="AA1550" s="7" t="s">
        <v>255</v>
      </c>
      <c r="AB1550" s="7">
        <f t="shared" si="122"/>
        <v>3.3333333333333335</v>
      </c>
      <c r="AC1550" s="7">
        <f t="shared" si="121"/>
        <v>0</v>
      </c>
      <c r="AD1550" s="7"/>
      <c r="AE1550" s="7"/>
      <c r="AF1550" s="7"/>
      <c r="AG1550" s="7"/>
      <c r="AH1550" s="7"/>
      <c r="AI1550" s="7"/>
      <c r="AJ1550" s="7"/>
      <c r="AK1550" s="7"/>
      <c r="AL1550" s="9"/>
      <c r="AM1550" s="7" t="s">
        <v>42</v>
      </c>
      <c r="AN1550" s="7" t="s">
        <v>42</v>
      </c>
      <c r="AO1550" s="7"/>
    </row>
    <row r="1551" spans="1:41" s="11" customFormat="1" x14ac:dyDescent="0.25">
      <c r="A1551" s="2">
        <v>1550</v>
      </c>
      <c r="B1551" s="7" t="s">
        <v>1235</v>
      </c>
      <c r="C1551" s="7" t="s">
        <v>78</v>
      </c>
      <c r="D1551" s="7">
        <v>4</v>
      </c>
      <c r="E1551" s="7">
        <v>4</v>
      </c>
      <c r="F1551" s="8">
        <v>1</v>
      </c>
      <c r="G1551" s="8">
        <v>1</v>
      </c>
      <c r="H1551" s="7">
        <v>1</v>
      </c>
      <c r="I1551" s="7">
        <v>1</v>
      </c>
      <c r="J1551" s="9" t="s">
        <v>77</v>
      </c>
      <c r="K1551" s="7">
        <v>2</v>
      </c>
      <c r="L1551" s="7" t="s">
        <v>52</v>
      </c>
      <c r="M1551" s="7">
        <f t="shared" si="120"/>
        <v>1</v>
      </c>
      <c r="N1551" s="9" t="s">
        <v>34</v>
      </c>
      <c r="O1551" s="7">
        <v>1</v>
      </c>
      <c r="P1551" s="9" t="s">
        <v>37</v>
      </c>
      <c r="Q1551" s="7" t="s">
        <v>38</v>
      </c>
      <c r="R1551" s="7" t="s">
        <v>38</v>
      </c>
      <c r="S1551" s="10" t="s">
        <v>2253</v>
      </c>
      <c r="T1551" s="7">
        <v>35</v>
      </c>
      <c r="U1551" s="7">
        <v>35</v>
      </c>
      <c r="V1551" s="7">
        <v>70</v>
      </c>
      <c r="W1551" s="7" t="s">
        <v>88</v>
      </c>
      <c r="X1551" s="7"/>
      <c r="Y1551" s="7"/>
      <c r="Z1551" s="7"/>
      <c r="AA1551" s="7"/>
      <c r="AB1551" s="7">
        <f t="shared" si="122"/>
        <v>11.666666666666666</v>
      </c>
      <c r="AC1551" s="7">
        <f t="shared" si="121"/>
        <v>11.666666666666666</v>
      </c>
      <c r="AD1551" s="7"/>
      <c r="AE1551" s="7"/>
      <c r="AF1551" s="7"/>
      <c r="AG1551" s="7"/>
      <c r="AH1551" s="7"/>
      <c r="AI1551" s="7"/>
      <c r="AJ1551" s="7"/>
      <c r="AK1551" s="7"/>
      <c r="AL1551" s="9"/>
      <c r="AM1551" s="7" t="s">
        <v>42</v>
      </c>
      <c r="AN1551" s="7" t="s">
        <v>42</v>
      </c>
      <c r="AO1551" s="12"/>
    </row>
    <row r="1552" spans="1:41" s="11" customFormat="1" x14ac:dyDescent="0.25">
      <c r="A1552" s="2">
        <v>1551</v>
      </c>
      <c r="B1552" s="7" t="s">
        <v>1235</v>
      </c>
      <c r="C1552" s="7" t="s">
        <v>104</v>
      </c>
      <c r="D1552" s="7">
        <v>6</v>
      </c>
      <c r="E1552" s="7">
        <v>6</v>
      </c>
      <c r="F1552" s="8">
        <v>1</v>
      </c>
      <c r="G1552" s="8">
        <v>1</v>
      </c>
      <c r="H1552" s="7">
        <v>1</v>
      </c>
      <c r="I1552" s="7">
        <v>1</v>
      </c>
      <c r="J1552" s="9" t="s">
        <v>77</v>
      </c>
      <c r="K1552" s="7">
        <v>2</v>
      </c>
      <c r="L1552" s="7" t="s">
        <v>38</v>
      </c>
      <c r="M1552" s="7">
        <f t="shared" si="120"/>
        <v>0</v>
      </c>
      <c r="N1552" s="9" t="s">
        <v>34</v>
      </c>
      <c r="O1552" s="7">
        <v>2</v>
      </c>
      <c r="P1552" s="9" t="s">
        <v>33</v>
      </c>
      <c r="Q1552" s="7" t="s">
        <v>38</v>
      </c>
      <c r="R1552" s="7" t="s">
        <v>38</v>
      </c>
      <c r="S1552" s="7"/>
      <c r="T1552" s="7"/>
      <c r="U1552" s="7"/>
      <c r="V1552" s="7"/>
      <c r="W1552" s="7"/>
      <c r="X1552" s="7">
        <v>3</v>
      </c>
      <c r="Y1552" s="7"/>
      <c r="Z1552" s="7"/>
      <c r="AA1552" s="7"/>
      <c r="AB1552" s="7">
        <f t="shared" si="122"/>
        <v>1</v>
      </c>
      <c r="AC1552" s="7">
        <f t="shared" si="121"/>
        <v>0</v>
      </c>
      <c r="AD1552" s="7"/>
      <c r="AE1552" s="7">
        <v>1</v>
      </c>
      <c r="AF1552" s="7" t="s">
        <v>40</v>
      </c>
      <c r="AG1552" s="7" t="s">
        <v>490</v>
      </c>
      <c r="AH1552" s="7"/>
      <c r="AI1552" s="7"/>
      <c r="AJ1552" s="7"/>
      <c r="AK1552" s="7"/>
      <c r="AL1552" s="9"/>
      <c r="AM1552" s="7" t="s">
        <v>71</v>
      </c>
      <c r="AN1552" s="7" t="s">
        <v>71</v>
      </c>
      <c r="AO1552" s="12"/>
    </row>
    <row r="1553" spans="1:41" s="11" customFormat="1" x14ac:dyDescent="0.25">
      <c r="A1553" s="2">
        <v>1552</v>
      </c>
      <c r="B1553" s="7" t="s">
        <v>1235</v>
      </c>
      <c r="C1553" s="7" t="s">
        <v>89</v>
      </c>
      <c r="D1553" s="7" t="s">
        <v>1326</v>
      </c>
      <c r="E1553" s="7">
        <f>27+18+9+5+2+6</f>
        <v>67</v>
      </c>
      <c r="F1553" s="8">
        <v>16</v>
      </c>
      <c r="G1553" s="8">
        <v>16</v>
      </c>
      <c r="H1553" s="7" t="s">
        <v>614</v>
      </c>
      <c r="I1553" s="7">
        <v>16</v>
      </c>
      <c r="J1553" s="9" t="s">
        <v>77</v>
      </c>
      <c r="K1553" s="7">
        <v>1</v>
      </c>
      <c r="L1553" s="7" t="s">
        <v>38</v>
      </c>
      <c r="M1553" s="7">
        <f t="shared" si="120"/>
        <v>0</v>
      </c>
      <c r="N1553" s="9"/>
      <c r="O1553" s="7"/>
      <c r="P1553" s="9"/>
      <c r="Q1553" s="7"/>
      <c r="R1553" s="7"/>
      <c r="S1553" s="7"/>
      <c r="T1553" s="7"/>
      <c r="U1553" s="7"/>
      <c r="V1553" s="7"/>
      <c r="W1553" s="7"/>
      <c r="X1553" s="7">
        <v>3</v>
      </c>
      <c r="Y1553" s="7"/>
      <c r="Z1553" s="7"/>
      <c r="AA1553" s="7"/>
      <c r="AB1553" s="7">
        <f t="shared" si="122"/>
        <v>1</v>
      </c>
      <c r="AC1553" s="7">
        <f t="shared" si="121"/>
        <v>0</v>
      </c>
      <c r="AD1553" s="7"/>
      <c r="AE1553" s="7"/>
      <c r="AF1553" s="7"/>
      <c r="AG1553" s="7"/>
      <c r="AH1553" s="7"/>
      <c r="AI1553" s="7"/>
      <c r="AJ1553" s="7"/>
      <c r="AK1553" s="7"/>
      <c r="AL1553" s="9"/>
      <c r="AM1553" s="7" t="s">
        <v>71</v>
      </c>
      <c r="AN1553" s="7" t="s">
        <v>71</v>
      </c>
      <c r="AO1553" s="12"/>
    </row>
    <row r="1554" spans="1:41" s="11" customFormat="1" x14ac:dyDescent="0.25">
      <c r="A1554" s="2">
        <v>1553</v>
      </c>
      <c r="B1554" s="7" t="s">
        <v>1235</v>
      </c>
      <c r="C1554" s="7" t="s">
        <v>100</v>
      </c>
      <c r="D1554" s="7">
        <v>34</v>
      </c>
      <c r="E1554" s="7">
        <v>34</v>
      </c>
      <c r="F1554" s="8">
        <v>1</v>
      </c>
      <c r="G1554" s="8">
        <v>1</v>
      </c>
      <c r="H1554" s="7">
        <v>1</v>
      </c>
      <c r="I1554" s="7">
        <v>1</v>
      </c>
      <c r="J1554" s="9" t="s">
        <v>219</v>
      </c>
      <c r="K1554" s="7">
        <v>13</v>
      </c>
      <c r="L1554" s="7" t="s">
        <v>52</v>
      </c>
      <c r="M1554" s="7">
        <f t="shared" si="120"/>
        <v>1</v>
      </c>
      <c r="N1554" s="9"/>
      <c r="O1554" s="7"/>
      <c r="P1554" s="9"/>
      <c r="Q1554" s="7"/>
      <c r="R1554" s="7"/>
      <c r="S1554" s="7"/>
      <c r="T1554" s="7"/>
      <c r="U1554" s="7"/>
      <c r="V1554" s="7"/>
      <c r="W1554" s="7"/>
      <c r="X1554" s="7">
        <v>3</v>
      </c>
      <c r="Y1554" s="7"/>
      <c r="Z1554" s="7"/>
      <c r="AA1554" s="7"/>
      <c r="AB1554" s="7">
        <f t="shared" si="122"/>
        <v>1</v>
      </c>
      <c r="AC1554" s="7">
        <f t="shared" si="121"/>
        <v>1</v>
      </c>
      <c r="AD1554" s="7"/>
      <c r="AE1554" s="7"/>
      <c r="AF1554" s="7"/>
      <c r="AG1554" s="7"/>
      <c r="AH1554" s="7"/>
      <c r="AI1554" s="7"/>
      <c r="AJ1554" s="7"/>
      <c r="AK1554" s="7"/>
      <c r="AL1554" s="9"/>
      <c r="AM1554" s="7" t="s">
        <v>71</v>
      </c>
      <c r="AN1554" s="7" t="s">
        <v>71</v>
      </c>
      <c r="AO1554" s="12"/>
    </row>
    <row r="1555" spans="1:41" s="11" customFormat="1" x14ac:dyDescent="0.25">
      <c r="A1555" s="2">
        <v>1554</v>
      </c>
      <c r="B1555" s="7" t="s">
        <v>1235</v>
      </c>
      <c r="C1555" s="7" t="s">
        <v>50</v>
      </c>
      <c r="D1555" s="7">
        <v>51</v>
      </c>
      <c r="E1555" s="7">
        <v>51</v>
      </c>
      <c r="F1555" s="8">
        <v>1</v>
      </c>
      <c r="G1555" s="8">
        <v>1</v>
      </c>
      <c r="H1555" s="7">
        <v>1</v>
      </c>
      <c r="I1555" s="7">
        <v>1</v>
      </c>
      <c r="J1555" s="9" t="s">
        <v>219</v>
      </c>
      <c r="K1555" s="7">
        <v>1</v>
      </c>
      <c r="L1555" s="7" t="s">
        <v>52</v>
      </c>
      <c r="M1555" s="7">
        <f t="shared" si="120"/>
        <v>1</v>
      </c>
      <c r="N1555" s="9" t="s">
        <v>34</v>
      </c>
      <c r="O1555" s="7">
        <v>0</v>
      </c>
      <c r="P1555" s="9" t="s">
        <v>34</v>
      </c>
      <c r="Q1555" s="7" t="s">
        <v>38</v>
      </c>
      <c r="R1555" s="7" t="s">
        <v>38</v>
      </c>
      <c r="S1555" s="10" t="s">
        <v>2254</v>
      </c>
      <c r="T1555" s="7"/>
      <c r="U1555" s="7"/>
      <c r="V1555" s="7"/>
      <c r="W1555" s="7"/>
      <c r="X1555" s="7"/>
      <c r="Y1555" s="7">
        <v>10</v>
      </c>
      <c r="Z1555" s="7">
        <v>10</v>
      </c>
      <c r="AA1555" s="7">
        <v>180</v>
      </c>
      <c r="AB1555" s="7">
        <f t="shared" si="122"/>
        <v>3.3333333333333335</v>
      </c>
      <c r="AC1555" s="7">
        <f t="shared" si="121"/>
        <v>3.3333333333333335</v>
      </c>
      <c r="AD1555" s="7"/>
      <c r="AE1555" s="7"/>
      <c r="AF1555" s="7"/>
      <c r="AG1555" s="7"/>
      <c r="AH1555" s="7"/>
      <c r="AI1555" s="7"/>
      <c r="AJ1555" s="7"/>
      <c r="AK1555" s="7"/>
      <c r="AL1555" s="9"/>
      <c r="AM1555" s="7" t="s">
        <v>71</v>
      </c>
      <c r="AN1555" s="7" t="s">
        <v>71</v>
      </c>
      <c r="AO1555" s="12"/>
    </row>
    <row r="1556" spans="1:41" s="11" customFormat="1" x14ac:dyDescent="0.25">
      <c r="A1556" s="2">
        <v>1555</v>
      </c>
      <c r="B1556" s="7" t="s">
        <v>1235</v>
      </c>
      <c r="C1556" s="7" t="s">
        <v>50</v>
      </c>
      <c r="D1556" s="7">
        <v>20</v>
      </c>
      <c r="E1556" s="7">
        <v>20</v>
      </c>
      <c r="F1556" s="8">
        <v>1</v>
      </c>
      <c r="G1556" s="8">
        <v>1</v>
      </c>
      <c r="H1556" s="7">
        <v>1</v>
      </c>
      <c r="I1556" s="7">
        <v>1</v>
      </c>
      <c r="J1556" s="9" t="s">
        <v>219</v>
      </c>
      <c r="K1556" s="7">
        <v>1</v>
      </c>
      <c r="L1556" s="7" t="s">
        <v>52</v>
      </c>
      <c r="M1556" s="7">
        <f t="shared" si="120"/>
        <v>1</v>
      </c>
      <c r="N1556" s="9" t="s">
        <v>36</v>
      </c>
      <c r="O1556" s="7">
        <v>0</v>
      </c>
      <c r="P1556" s="9" t="s">
        <v>37</v>
      </c>
      <c r="Q1556" s="7" t="s">
        <v>38</v>
      </c>
      <c r="R1556" s="7" t="s">
        <v>38</v>
      </c>
      <c r="S1556" s="10" t="s">
        <v>2255</v>
      </c>
      <c r="T1556" s="7"/>
      <c r="U1556" s="7"/>
      <c r="V1556" s="7"/>
      <c r="W1556" s="7"/>
      <c r="X1556" s="7"/>
      <c r="Y1556" s="7">
        <v>5</v>
      </c>
      <c r="Z1556" s="7">
        <v>5</v>
      </c>
      <c r="AA1556" s="7" t="s">
        <v>76</v>
      </c>
      <c r="AB1556" s="7">
        <f t="shared" si="122"/>
        <v>1.6666666666666667</v>
      </c>
      <c r="AC1556" s="7">
        <f t="shared" si="121"/>
        <v>1.6666666666666667</v>
      </c>
      <c r="AD1556" s="7"/>
      <c r="AE1556" s="7"/>
      <c r="AF1556" s="7"/>
      <c r="AG1556" s="7"/>
      <c r="AH1556" s="7"/>
      <c r="AI1556" s="7"/>
      <c r="AJ1556" s="7"/>
      <c r="AK1556" s="7"/>
      <c r="AL1556" s="9"/>
      <c r="AM1556" s="7" t="s">
        <v>71</v>
      </c>
      <c r="AN1556" s="7" t="s">
        <v>71</v>
      </c>
      <c r="AO1556" s="12"/>
    </row>
    <row r="1557" spans="1:41" s="11" customFormat="1" x14ac:dyDescent="0.25">
      <c r="A1557" s="2">
        <v>1556</v>
      </c>
      <c r="B1557" s="7" t="s">
        <v>1235</v>
      </c>
      <c r="C1557" s="7" t="s">
        <v>104</v>
      </c>
      <c r="D1557" s="7">
        <v>15</v>
      </c>
      <c r="E1557" s="7">
        <v>15</v>
      </c>
      <c r="F1557" s="8">
        <v>1</v>
      </c>
      <c r="G1557" s="8">
        <v>1</v>
      </c>
      <c r="H1557" s="7">
        <v>1</v>
      </c>
      <c r="I1557" s="7">
        <v>1</v>
      </c>
      <c r="J1557" s="9" t="s">
        <v>219</v>
      </c>
      <c r="K1557" s="7">
        <v>1</v>
      </c>
      <c r="L1557" s="7" t="s">
        <v>52</v>
      </c>
      <c r="M1557" s="7">
        <f t="shared" si="120"/>
        <v>1</v>
      </c>
      <c r="N1557" s="9" t="s">
        <v>34</v>
      </c>
      <c r="O1557" s="7">
        <v>0</v>
      </c>
      <c r="P1557" s="9" t="s">
        <v>36</v>
      </c>
      <c r="Q1557" s="7" t="s">
        <v>38</v>
      </c>
      <c r="R1557" s="7" t="s">
        <v>38</v>
      </c>
      <c r="S1557" s="10" t="s">
        <v>1996</v>
      </c>
      <c r="T1557" s="7"/>
      <c r="U1557" s="7"/>
      <c r="V1557" s="7"/>
      <c r="W1557" s="7"/>
      <c r="X1557" s="7">
        <v>3</v>
      </c>
      <c r="Y1557" s="7"/>
      <c r="Z1557" s="7"/>
      <c r="AA1557" s="7"/>
      <c r="AB1557" s="7">
        <f t="shared" si="122"/>
        <v>1</v>
      </c>
      <c r="AC1557" s="7">
        <f t="shared" si="121"/>
        <v>1</v>
      </c>
      <c r="AD1557" s="7"/>
      <c r="AE1557" s="7">
        <v>1</v>
      </c>
      <c r="AF1557" s="7"/>
      <c r="AG1557" s="7" t="s">
        <v>1327</v>
      </c>
      <c r="AH1557" s="7"/>
      <c r="AI1557" s="7"/>
      <c r="AJ1557" s="7"/>
      <c r="AK1557" s="7"/>
      <c r="AL1557" s="9"/>
      <c r="AM1557" s="7" t="s">
        <v>71</v>
      </c>
      <c r="AN1557" s="7" t="s">
        <v>71</v>
      </c>
      <c r="AO1557" s="12"/>
    </row>
    <row r="1558" spans="1:41" s="11" customFormat="1" x14ac:dyDescent="0.25">
      <c r="A1558" s="2">
        <v>1557</v>
      </c>
      <c r="B1558" s="7" t="s">
        <v>1235</v>
      </c>
      <c r="C1558" s="7" t="s">
        <v>89</v>
      </c>
      <c r="D1558" s="7" t="s">
        <v>1328</v>
      </c>
      <c r="E1558" s="7">
        <f>37+10+3+8</f>
        <v>58</v>
      </c>
      <c r="F1558" s="8">
        <v>6</v>
      </c>
      <c r="G1558" s="8">
        <v>9</v>
      </c>
      <c r="H1558" s="7" t="s">
        <v>1153</v>
      </c>
      <c r="I1558" s="7">
        <v>9</v>
      </c>
      <c r="J1558" s="9" t="s">
        <v>219</v>
      </c>
      <c r="K1558" s="7">
        <v>1</v>
      </c>
      <c r="L1558" s="7" t="s">
        <v>52</v>
      </c>
      <c r="M1558" s="7">
        <f t="shared" si="120"/>
        <v>6</v>
      </c>
      <c r="N1558" s="9"/>
      <c r="O1558" s="7"/>
      <c r="P1558" s="9"/>
      <c r="Q1558" s="7"/>
      <c r="R1558" s="7"/>
      <c r="S1558" s="7"/>
      <c r="T1558" s="7"/>
      <c r="U1558" s="7"/>
      <c r="V1558" s="7"/>
      <c r="W1558" s="7"/>
      <c r="X1558" s="7">
        <v>3</v>
      </c>
      <c r="Y1558" s="7"/>
      <c r="Z1558" s="7"/>
      <c r="AA1558" s="7"/>
      <c r="AB1558" s="7">
        <f t="shared" si="122"/>
        <v>1</v>
      </c>
      <c r="AC1558" s="7">
        <f t="shared" si="121"/>
        <v>1</v>
      </c>
      <c r="AD1558" s="7"/>
      <c r="AE1558" s="7"/>
      <c r="AF1558" s="7"/>
      <c r="AG1558" s="7"/>
      <c r="AH1558" s="7"/>
      <c r="AI1558" s="7"/>
      <c r="AJ1558" s="7"/>
      <c r="AK1558" s="7"/>
      <c r="AL1558" s="9"/>
      <c r="AM1558" s="7" t="s">
        <v>71</v>
      </c>
      <c r="AN1558" s="7" t="s">
        <v>71</v>
      </c>
      <c r="AO1558" s="12"/>
    </row>
    <row r="1559" spans="1:41" s="11" customFormat="1" ht="24" x14ac:dyDescent="0.25">
      <c r="A1559" s="2">
        <v>1558</v>
      </c>
      <c r="B1559" s="7" t="s">
        <v>1235</v>
      </c>
      <c r="C1559" s="7" t="s">
        <v>245</v>
      </c>
      <c r="D1559" s="7" t="s">
        <v>1329</v>
      </c>
      <c r="E1559" s="7">
        <f>94+15</f>
        <v>109</v>
      </c>
      <c r="F1559" s="8">
        <v>1</v>
      </c>
      <c r="G1559" s="8">
        <v>3</v>
      </c>
      <c r="H1559" s="7">
        <v>3</v>
      </c>
      <c r="I1559" s="7">
        <v>3</v>
      </c>
      <c r="J1559" s="9" t="s">
        <v>219</v>
      </c>
      <c r="K1559" s="7">
        <v>8</v>
      </c>
      <c r="L1559" s="7" t="s">
        <v>52</v>
      </c>
      <c r="M1559" s="7">
        <f t="shared" si="120"/>
        <v>1</v>
      </c>
      <c r="N1559" s="9" t="s">
        <v>34</v>
      </c>
      <c r="O1559" s="7">
        <v>3</v>
      </c>
      <c r="P1559" s="9" t="s">
        <v>34</v>
      </c>
      <c r="Q1559" s="7" t="s">
        <v>38</v>
      </c>
      <c r="R1559" s="7" t="s">
        <v>38</v>
      </c>
      <c r="S1559" s="10" t="s">
        <v>2256</v>
      </c>
      <c r="T1559" s="7">
        <v>8</v>
      </c>
      <c r="U1559" s="7">
        <v>8</v>
      </c>
      <c r="V1559" s="7">
        <v>180</v>
      </c>
      <c r="W1559" s="7" t="s">
        <v>475</v>
      </c>
      <c r="X1559" s="7">
        <v>3</v>
      </c>
      <c r="Y1559" s="7"/>
      <c r="Z1559" s="7"/>
      <c r="AA1559" s="7"/>
      <c r="AB1559" s="7">
        <f t="shared" si="122"/>
        <v>3.6666666666666665</v>
      </c>
      <c r="AC1559" s="7">
        <f t="shared" si="121"/>
        <v>3.6666666666666665</v>
      </c>
      <c r="AD1559" s="7"/>
      <c r="AE1559" s="7">
        <v>1</v>
      </c>
      <c r="AF1559" s="7" t="s">
        <v>155</v>
      </c>
      <c r="AG1559" s="7" t="s">
        <v>1330</v>
      </c>
      <c r="AH1559" s="7"/>
      <c r="AI1559" s="7"/>
      <c r="AJ1559" s="7"/>
      <c r="AK1559" s="7"/>
      <c r="AL1559" s="9"/>
      <c r="AM1559" s="7" t="s">
        <v>1331</v>
      </c>
      <c r="AN1559" s="7" t="s">
        <v>662</v>
      </c>
      <c r="AO1559" s="12"/>
    </row>
    <row r="1560" spans="1:41" s="11" customFormat="1" x14ac:dyDescent="0.25">
      <c r="A1560" s="2">
        <v>1559</v>
      </c>
      <c r="B1560" s="7" t="s">
        <v>1235</v>
      </c>
      <c r="C1560" s="7" t="s">
        <v>100</v>
      </c>
      <c r="D1560" s="7">
        <v>3</v>
      </c>
      <c r="E1560" s="7">
        <v>3</v>
      </c>
      <c r="F1560" s="8">
        <v>1</v>
      </c>
      <c r="G1560" s="8">
        <v>1</v>
      </c>
      <c r="H1560" s="7">
        <v>1</v>
      </c>
      <c r="I1560" s="7">
        <v>1</v>
      </c>
      <c r="J1560" s="9" t="s">
        <v>219</v>
      </c>
      <c r="K1560" s="9" t="s">
        <v>978</v>
      </c>
      <c r="L1560" s="7" t="s">
        <v>52</v>
      </c>
      <c r="M1560" s="7">
        <f t="shared" si="120"/>
        <v>1</v>
      </c>
      <c r="N1560" s="9"/>
      <c r="O1560" s="7"/>
      <c r="P1560" s="9"/>
      <c r="Q1560" s="7"/>
      <c r="R1560" s="7"/>
      <c r="S1560" s="7"/>
      <c r="T1560" s="7"/>
      <c r="U1560" s="7"/>
      <c r="V1560" s="7"/>
      <c r="W1560" s="7"/>
      <c r="X1560" s="7">
        <v>3</v>
      </c>
      <c r="Y1560" s="7"/>
      <c r="Z1560" s="7"/>
      <c r="AA1560" s="7"/>
      <c r="AB1560" s="7">
        <f t="shared" si="122"/>
        <v>1</v>
      </c>
      <c r="AC1560" s="7">
        <f t="shared" si="121"/>
        <v>1</v>
      </c>
      <c r="AD1560" s="7"/>
      <c r="AE1560" s="7"/>
      <c r="AF1560" s="7"/>
      <c r="AG1560" s="7"/>
      <c r="AH1560" s="7"/>
      <c r="AI1560" s="7"/>
      <c r="AJ1560" s="7"/>
      <c r="AK1560" s="7"/>
      <c r="AL1560" s="9"/>
      <c r="AM1560" s="7" t="s">
        <v>71</v>
      </c>
      <c r="AN1560" s="7" t="s">
        <v>71</v>
      </c>
      <c r="AO1560" s="12"/>
    </row>
    <row r="1561" spans="1:41" s="11" customFormat="1" ht="24" x14ac:dyDescent="0.25">
      <c r="A1561" s="2">
        <v>1560</v>
      </c>
      <c r="B1561" s="7" t="s">
        <v>1235</v>
      </c>
      <c r="C1561" s="7" t="s">
        <v>78</v>
      </c>
      <c r="D1561" s="7">
        <v>17</v>
      </c>
      <c r="E1561" s="7">
        <v>17</v>
      </c>
      <c r="F1561" s="8">
        <v>1</v>
      </c>
      <c r="G1561" s="8">
        <v>1</v>
      </c>
      <c r="H1561" s="7">
        <v>1</v>
      </c>
      <c r="I1561" s="7">
        <v>1</v>
      </c>
      <c r="J1561" s="9" t="s">
        <v>219</v>
      </c>
      <c r="K1561" s="7">
        <v>5</v>
      </c>
      <c r="L1561" s="7" t="s">
        <v>52</v>
      </c>
      <c r="M1561" s="7">
        <f t="shared" si="120"/>
        <v>1</v>
      </c>
      <c r="N1561" s="9" t="s">
        <v>37</v>
      </c>
      <c r="O1561" s="7">
        <v>3</v>
      </c>
      <c r="P1561" s="9" t="s">
        <v>37</v>
      </c>
      <c r="Q1561" s="7" t="s">
        <v>38</v>
      </c>
      <c r="R1561" s="7" t="s">
        <v>38</v>
      </c>
      <c r="S1561" s="10" t="s">
        <v>2257</v>
      </c>
      <c r="T1561" s="7">
        <v>6</v>
      </c>
      <c r="U1561" s="7">
        <v>6</v>
      </c>
      <c r="V1561" s="7">
        <v>170</v>
      </c>
      <c r="W1561" s="7" t="s">
        <v>239</v>
      </c>
      <c r="X1561" s="7"/>
      <c r="Y1561" s="7"/>
      <c r="Z1561" s="7"/>
      <c r="AA1561" s="7"/>
      <c r="AB1561" s="7">
        <f t="shared" si="122"/>
        <v>2</v>
      </c>
      <c r="AC1561" s="7">
        <f t="shared" si="121"/>
        <v>2</v>
      </c>
      <c r="AD1561" s="7"/>
      <c r="AE1561" s="7"/>
      <c r="AF1561" s="7"/>
      <c r="AG1561" s="7"/>
      <c r="AH1561" s="7"/>
      <c r="AI1561" s="7"/>
      <c r="AJ1561" s="7"/>
      <c r="AK1561" s="7"/>
      <c r="AL1561" s="9"/>
      <c r="AM1561" s="7" t="s">
        <v>636</v>
      </c>
      <c r="AN1561" s="7" t="s">
        <v>662</v>
      </c>
      <c r="AO1561" s="12"/>
    </row>
    <row r="1562" spans="1:41" s="11" customFormat="1" x14ac:dyDescent="0.25">
      <c r="A1562" s="2">
        <v>1561</v>
      </c>
      <c r="B1562" s="7" t="s">
        <v>1235</v>
      </c>
      <c r="C1562" s="7" t="s">
        <v>100</v>
      </c>
      <c r="D1562" s="7">
        <v>53</v>
      </c>
      <c r="E1562" s="7">
        <v>53</v>
      </c>
      <c r="F1562" s="8">
        <v>1</v>
      </c>
      <c r="G1562" s="8">
        <v>1</v>
      </c>
      <c r="H1562" s="7">
        <v>1</v>
      </c>
      <c r="I1562" s="7">
        <v>1</v>
      </c>
      <c r="J1562" s="9" t="s">
        <v>1312</v>
      </c>
      <c r="K1562" s="9" t="s">
        <v>219</v>
      </c>
      <c r="L1562" s="9" t="s">
        <v>38</v>
      </c>
      <c r="M1562" s="7">
        <f t="shared" si="120"/>
        <v>0</v>
      </c>
      <c r="N1562" s="9"/>
      <c r="O1562" s="7"/>
      <c r="P1562" s="9"/>
      <c r="Q1562" s="7"/>
      <c r="R1562" s="7"/>
      <c r="S1562" s="7"/>
      <c r="T1562" s="7"/>
      <c r="U1562" s="7"/>
      <c r="V1562" s="7"/>
      <c r="W1562" s="7"/>
      <c r="X1562" s="7">
        <v>3</v>
      </c>
      <c r="Y1562" s="7"/>
      <c r="Z1562" s="7"/>
      <c r="AA1562" s="7"/>
      <c r="AB1562" s="7">
        <f t="shared" si="122"/>
        <v>1</v>
      </c>
      <c r="AC1562" s="7">
        <f t="shared" si="121"/>
        <v>0</v>
      </c>
      <c r="AD1562" s="7"/>
      <c r="AE1562" s="7"/>
      <c r="AF1562" s="7"/>
      <c r="AG1562" s="7"/>
      <c r="AH1562" s="7"/>
      <c r="AI1562" s="7"/>
      <c r="AJ1562" s="7"/>
      <c r="AK1562" s="7"/>
      <c r="AL1562" s="9"/>
      <c r="AM1562" s="7" t="s">
        <v>71</v>
      </c>
      <c r="AN1562" s="7" t="s">
        <v>71</v>
      </c>
      <c r="AO1562" s="15" t="s">
        <v>2737</v>
      </c>
    </row>
    <row r="1563" spans="1:41" s="11" customFormat="1" ht="36" x14ac:dyDescent="0.25">
      <c r="A1563" s="2">
        <v>1562</v>
      </c>
      <c r="B1563" s="7" t="s">
        <v>1235</v>
      </c>
      <c r="C1563" s="7" t="s">
        <v>78</v>
      </c>
      <c r="D1563" s="7" t="s">
        <v>1332</v>
      </c>
      <c r="E1563" s="7">
        <v>24</v>
      </c>
      <c r="F1563" s="8">
        <v>1</v>
      </c>
      <c r="G1563" s="8">
        <v>2</v>
      </c>
      <c r="H1563" s="7">
        <v>2</v>
      </c>
      <c r="I1563" s="7">
        <v>2</v>
      </c>
      <c r="J1563" s="9" t="s">
        <v>1333</v>
      </c>
      <c r="K1563" s="9" t="s">
        <v>204</v>
      </c>
      <c r="L1563" s="9" t="s">
        <v>52</v>
      </c>
      <c r="M1563" s="7">
        <f t="shared" si="120"/>
        <v>1</v>
      </c>
      <c r="N1563" s="9" t="s">
        <v>177</v>
      </c>
      <c r="O1563" s="7">
        <v>1</v>
      </c>
      <c r="P1563" s="9" t="s">
        <v>63</v>
      </c>
      <c r="Q1563" s="9" t="s">
        <v>38</v>
      </c>
      <c r="R1563" s="9" t="s">
        <v>52</v>
      </c>
      <c r="S1563" s="13" t="s">
        <v>2258</v>
      </c>
      <c r="T1563" s="7">
        <v>8</v>
      </c>
      <c r="U1563" s="7">
        <v>8</v>
      </c>
      <c r="V1563" s="7">
        <v>230</v>
      </c>
      <c r="W1563" s="7" t="s">
        <v>1334</v>
      </c>
      <c r="X1563" s="7"/>
      <c r="Y1563" s="7"/>
      <c r="Z1563" s="7"/>
      <c r="AA1563" s="7"/>
      <c r="AB1563" s="7">
        <f t="shared" si="122"/>
        <v>2.6666666666666665</v>
      </c>
      <c r="AC1563" s="7">
        <f t="shared" si="121"/>
        <v>2.6666666666666665</v>
      </c>
      <c r="AD1563" s="7"/>
      <c r="AE1563" s="7"/>
      <c r="AF1563" s="7"/>
      <c r="AG1563" s="7"/>
      <c r="AH1563" s="7"/>
      <c r="AI1563" s="7"/>
      <c r="AJ1563" s="7"/>
      <c r="AK1563" s="7"/>
      <c r="AL1563" s="9"/>
      <c r="AM1563" s="7" t="s">
        <v>215</v>
      </c>
      <c r="AN1563" s="7" t="s">
        <v>2850</v>
      </c>
      <c r="AO1563" s="15" t="s">
        <v>2738</v>
      </c>
    </row>
    <row r="1564" spans="1:41" s="11" customFormat="1" x14ac:dyDescent="0.25">
      <c r="A1564" s="2">
        <v>1563</v>
      </c>
      <c r="B1564" s="7" t="s">
        <v>1235</v>
      </c>
      <c r="C1564" s="7" t="s">
        <v>100</v>
      </c>
      <c r="D1564" s="7">
        <v>4</v>
      </c>
      <c r="E1564" s="7">
        <v>4</v>
      </c>
      <c r="F1564" s="8">
        <v>1</v>
      </c>
      <c r="G1564" s="8">
        <v>1</v>
      </c>
      <c r="H1564" s="7">
        <v>1</v>
      </c>
      <c r="I1564" s="7">
        <v>1</v>
      </c>
      <c r="J1564" s="9" t="s">
        <v>176</v>
      </c>
      <c r="K1564" s="7">
        <v>9</v>
      </c>
      <c r="L1564" s="7" t="s">
        <v>52</v>
      </c>
      <c r="M1564" s="7">
        <f t="shared" si="120"/>
        <v>1</v>
      </c>
      <c r="N1564" s="9"/>
      <c r="O1564" s="7"/>
      <c r="P1564" s="9"/>
      <c r="Q1564" s="7"/>
      <c r="R1564" s="7"/>
      <c r="S1564" s="7"/>
      <c r="T1564" s="7"/>
      <c r="U1564" s="7"/>
      <c r="V1564" s="7"/>
      <c r="W1564" s="7"/>
      <c r="X1564" s="7">
        <v>3</v>
      </c>
      <c r="Y1564" s="7"/>
      <c r="Z1564" s="7"/>
      <c r="AA1564" s="7"/>
      <c r="AB1564" s="7">
        <f t="shared" si="122"/>
        <v>1</v>
      </c>
      <c r="AC1564" s="7">
        <f t="shared" si="121"/>
        <v>1</v>
      </c>
      <c r="AD1564" s="7"/>
      <c r="AE1564" s="7"/>
      <c r="AF1564" s="7"/>
      <c r="AG1564" s="7"/>
      <c r="AH1564" s="7"/>
      <c r="AI1564" s="7"/>
      <c r="AJ1564" s="7"/>
      <c r="AK1564" s="7"/>
      <c r="AL1564" s="9"/>
      <c r="AM1564" s="7" t="s">
        <v>71</v>
      </c>
      <c r="AN1564" s="7" t="s">
        <v>71</v>
      </c>
      <c r="AO1564" s="12"/>
    </row>
    <row r="1565" spans="1:41" s="11" customFormat="1" ht="24" x14ac:dyDescent="0.25">
      <c r="A1565" s="2">
        <v>1564</v>
      </c>
      <c r="B1565" s="7" t="s">
        <v>1235</v>
      </c>
      <c r="C1565" s="7" t="s">
        <v>50</v>
      </c>
      <c r="D1565" s="7">
        <v>15</v>
      </c>
      <c r="E1565" s="7">
        <v>15</v>
      </c>
      <c r="F1565" s="8">
        <v>1</v>
      </c>
      <c r="G1565" s="8">
        <v>1</v>
      </c>
      <c r="H1565" s="7">
        <v>1</v>
      </c>
      <c r="I1565" s="7">
        <v>1</v>
      </c>
      <c r="J1565" s="9" t="s">
        <v>176</v>
      </c>
      <c r="K1565" s="7">
        <v>5</v>
      </c>
      <c r="L1565" s="7" t="s">
        <v>52</v>
      </c>
      <c r="M1565" s="7">
        <f t="shared" si="120"/>
        <v>1</v>
      </c>
      <c r="N1565" s="9" t="s">
        <v>109</v>
      </c>
      <c r="O1565" s="7">
        <v>1</v>
      </c>
      <c r="P1565" s="9" t="s">
        <v>63</v>
      </c>
      <c r="Q1565" s="7" t="s">
        <v>38</v>
      </c>
      <c r="R1565" s="7" t="s">
        <v>38</v>
      </c>
      <c r="S1565" s="10" t="s">
        <v>2259</v>
      </c>
      <c r="T1565" s="7"/>
      <c r="U1565" s="7"/>
      <c r="V1565" s="7"/>
      <c r="W1565" s="7"/>
      <c r="X1565" s="7"/>
      <c r="Y1565" s="7">
        <v>5</v>
      </c>
      <c r="Z1565" s="7">
        <v>5</v>
      </c>
      <c r="AA1565" s="7">
        <v>200</v>
      </c>
      <c r="AB1565" s="7">
        <f t="shared" si="122"/>
        <v>1.6666666666666667</v>
      </c>
      <c r="AC1565" s="7">
        <f t="shared" si="121"/>
        <v>1.6666666666666667</v>
      </c>
      <c r="AD1565" s="7"/>
      <c r="AE1565" s="7"/>
      <c r="AF1565" s="7"/>
      <c r="AG1565" s="7"/>
      <c r="AH1565" s="7"/>
      <c r="AI1565" s="7"/>
      <c r="AJ1565" s="7"/>
      <c r="AK1565" s="7"/>
      <c r="AL1565" s="9"/>
      <c r="AM1565" s="7" t="s">
        <v>71</v>
      </c>
      <c r="AN1565" s="7" t="s">
        <v>71</v>
      </c>
      <c r="AO1565" s="12"/>
    </row>
    <row r="1566" spans="1:41" s="11" customFormat="1" x14ac:dyDescent="0.25">
      <c r="A1566" s="2">
        <v>1565</v>
      </c>
      <c r="B1566" s="7" t="s">
        <v>1235</v>
      </c>
      <c r="C1566" s="7" t="s">
        <v>89</v>
      </c>
      <c r="D1566" s="7" t="s">
        <v>1335</v>
      </c>
      <c r="E1566" s="7">
        <f>32+17+4+12+6+4</f>
        <v>75</v>
      </c>
      <c r="F1566" s="8">
        <v>3</v>
      </c>
      <c r="G1566" s="8">
        <v>16</v>
      </c>
      <c r="H1566" s="7" t="s">
        <v>614</v>
      </c>
      <c r="I1566" s="7">
        <v>16</v>
      </c>
      <c r="J1566" s="9" t="s">
        <v>176</v>
      </c>
      <c r="K1566" s="7">
        <v>5</v>
      </c>
      <c r="L1566" s="7" t="s">
        <v>52</v>
      </c>
      <c r="M1566" s="7">
        <f t="shared" si="120"/>
        <v>3</v>
      </c>
      <c r="N1566" s="9"/>
      <c r="O1566" s="7"/>
      <c r="P1566" s="9"/>
      <c r="Q1566" s="7"/>
      <c r="R1566" s="7"/>
      <c r="S1566" s="7"/>
      <c r="T1566" s="7"/>
      <c r="U1566" s="7"/>
      <c r="V1566" s="7"/>
      <c r="W1566" s="7"/>
      <c r="X1566" s="7">
        <v>3</v>
      </c>
      <c r="Y1566" s="7"/>
      <c r="Z1566" s="7"/>
      <c r="AA1566" s="7"/>
      <c r="AB1566" s="7">
        <f t="shared" si="122"/>
        <v>1</v>
      </c>
      <c r="AC1566" s="7">
        <f t="shared" si="121"/>
        <v>1</v>
      </c>
      <c r="AD1566" s="7"/>
      <c r="AE1566" s="7"/>
      <c r="AF1566" s="7"/>
      <c r="AG1566" s="7"/>
      <c r="AH1566" s="7"/>
      <c r="AI1566" s="7"/>
      <c r="AJ1566" s="7"/>
      <c r="AK1566" s="7"/>
      <c r="AL1566" s="9"/>
      <c r="AM1566" s="7" t="s">
        <v>71</v>
      </c>
      <c r="AN1566" s="7" t="s">
        <v>71</v>
      </c>
      <c r="AO1566" s="12"/>
    </row>
    <row r="1567" spans="1:41" s="11" customFormat="1" x14ac:dyDescent="0.25">
      <c r="A1567" s="2">
        <v>1566</v>
      </c>
      <c r="B1567" s="7" t="s">
        <v>1235</v>
      </c>
      <c r="C1567" s="7" t="s">
        <v>100</v>
      </c>
      <c r="D1567" s="7">
        <v>3</v>
      </c>
      <c r="E1567" s="7">
        <v>3</v>
      </c>
      <c r="F1567" s="8">
        <v>1</v>
      </c>
      <c r="G1567" s="8">
        <v>1</v>
      </c>
      <c r="H1567" s="7">
        <v>1</v>
      </c>
      <c r="I1567" s="7">
        <v>1</v>
      </c>
      <c r="J1567" s="9" t="s">
        <v>176</v>
      </c>
      <c r="K1567" s="7">
        <v>10</v>
      </c>
      <c r="L1567" s="7" t="s">
        <v>52</v>
      </c>
      <c r="M1567" s="7">
        <f t="shared" si="120"/>
        <v>1</v>
      </c>
      <c r="N1567" s="9"/>
      <c r="O1567" s="7"/>
      <c r="P1567" s="9"/>
      <c r="Q1567" s="7"/>
      <c r="R1567" s="7"/>
      <c r="S1567" s="7"/>
      <c r="T1567" s="7"/>
      <c r="U1567" s="7"/>
      <c r="V1567" s="7"/>
      <c r="W1567" s="7"/>
      <c r="X1567" s="7">
        <v>3</v>
      </c>
      <c r="Y1567" s="7"/>
      <c r="Z1567" s="7"/>
      <c r="AA1567" s="7"/>
      <c r="AB1567" s="7">
        <f t="shared" si="122"/>
        <v>1</v>
      </c>
      <c r="AC1567" s="7">
        <f t="shared" si="121"/>
        <v>1</v>
      </c>
      <c r="AD1567" s="7"/>
      <c r="AE1567" s="7"/>
      <c r="AF1567" s="7"/>
      <c r="AG1567" s="7"/>
      <c r="AH1567" s="7"/>
      <c r="AI1567" s="7"/>
      <c r="AJ1567" s="7"/>
      <c r="AK1567" s="7"/>
      <c r="AL1567" s="9"/>
      <c r="AM1567" s="7" t="s">
        <v>71</v>
      </c>
      <c r="AN1567" s="7" t="s">
        <v>71</v>
      </c>
      <c r="AO1567" s="12"/>
    </row>
    <row r="1568" spans="1:41" s="11" customFormat="1" x14ac:dyDescent="0.25">
      <c r="A1568" s="2">
        <v>1567</v>
      </c>
      <c r="B1568" s="7" t="s">
        <v>1235</v>
      </c>
      <c r="C1568" s="7" t="s">
        <v>100</v>
      </c>
      <c r="D1568" s="7">
        <v>10</v>
      </c>
      <c r="E1568" s="7">
        <v>10</v>
      </c>
      <c r="F1568" s="8">
        <v>1</v>
      </c>
      <c r="G1568" s="8">
        <v>1</v>
      </c>
      <c r="H1568" s="7">
        <v>1</v>
      </c>
      <c r="I1568" s="7">
        <v>1</v>
      </c>
      <c r="J1568" s="9" t="s">
        <v>176</v>
      </c>
      <c r="K1568" s="7">
        <v>2</v>
      </c>
      <c r="L1568" s="7" t="s">
        <v>52</v>
      </c>
      <c r="M1568" s="7">
        <f t="shared" si="120"/>
        <v>1</v>
      </c>
      <c r="N1568" s="9"/>
      <c r="O1568" s="7"/>
      <c r="P1568" s="9"/>
      <c r="Q1568" s="7"/>
      <c r="R1568" s="7"/>
      <c r="S1568" s="7"/>
      <c r="T1568" s="7"/>
      <c r="U1568" s="7"/>
      <c r="V1568" s="7"/>
      <c r="W1568" s="7"/>
      <c r="X1568" s="7">
        <v>3</v>
      </c>
      <c r="Y1568" s="7"/>
      <c r="Z1568" s="7"/>
      <c r="AA1568" s="7"/>
      <c r="AB1568" s="7">
        <f t="shared" si="122"/>
        <v>1</v>
      </c>
      <c r="AC1568" s="7">
        <f t="shared" si="121"/>
        <v>1</v>
      </c>
      <c r="AD1568" s="7"/>
      <c r="AE1568" s="7"/>
      <c r="AF1568" s="7"/>
      <c r="AG1568" s="7"/>
      <c r="AH1568" s="7"/>
      <c r="AI1568" s="7"/>
      <c r="AJ1568" s="7"/>
      <c r="AK1568" s="7"/>
      <c r="AL1568" s="9"/>
      <c r="AM1568" s="7" t="s">
        <v>71</v>
      </c>
      <c r="AN1568" s="7" t="s">
        <v>71</v>
      </c>
      <c r="AO1568" s="12"/>
    </row>
    <row r="1569" spans="1:41" s="11" customFormat="1" ht="24" x14ac:dyDescent="0.25">
      <c r="A1569" s="2">
        <v>1568</v>
      </c>
      <c r="B1569" s="7" t="s">
        <v>1235</v>
      </c>
      <c r="C1569" s="7" t="s">
        <v>78</v>
      </c>
      <c r="D1569" s="7">
        <v>26</v>
      </c>
      <c r="E1569" s="7">
        <v>26</v>
      </c>
      <c r="F1569" s="8">
        <v>1</v>
      </c>
      <c r="G1569" s="8">
        <v>1</v>
      </c>
      <c r="H1569" s="7">
        <v>1</v>
      </c>
      <c r="I1569" s="7">
        <v>1</v>
      </c>
      <c r="J1569" s="9" t="s">
        <v>176</v>
      </c>
      <c r="K1569" s="7">
        <v>3</v>
      </c>
      <c r="L1569" s="7" t="s">
        <v>52</v>
      </c>
      <c r="M1569" s="7">
        <f t="shared" si="120"/>
        <v>1</v>
      </c>
      <c r="N1569" s="9" t="s">
        <v>177</v>
      </c>
      <c r="O1569" s="7">
        <v>0</v>
      </c>
      <c r="P1569" s="9" t="s">
        <v>63</v>
      </c>
      <c r="Q1569" s="7" t="s">
        <v>38</v>
      </c>
      <c r="R1569" s="7" t="s">
        <v>38</v>
      </c>
      <c r="S1569" s="10" t="s">
        <v>2260</v>
      </c>
      <c r="T1569" s="7">
        <v>5</v>
      </c>
      <c r="U1569" s="7">
        <v>5</v>
      </c>
      <c r="V1569" s="7">
        <v>300</v>
      </c>
      <c r="W1569" s="7" t="s">
        <v>331</v>
      </c>
      <c r="X1569" s="7"/>
      <c r="Y1569" s="7"/>
      <c r="Z1569" s="7"/>
      <c r="AA1569" s="7"/>
      <c r="AB1569" s="7">
        <f t="shared" si="122"/>
        <v>1.6666666666666667</v>
      </c>
      <c r="AC1569" s="7">
        <f t="shared" si="121"/>
        <v>1.6666666666666667</v>
      </c>
      <c r="AD1569" s="7"/>
      <c r="AE1569" s="7"/>
      <c r="AF1569" s="7"/>
      <c r="AG1569" s="7"/>
      <c r="AH1569" s="7"/>
      <c r="AI1569" s="7"/>
      <c r="AJ1569" s="10" t="s">
        <v>2417</v>
      </c>
      <c r="AK1569" s="7"/>
      <c r="AL1569" s="9"/>
      <c r="AM1569" s="7" t="s">
        <v>215</v>
      </c>
      <c r="AN1569" s="7" t="s">
        <v>2850</v>
      </c>
      <c r="AO1569" s="12"/>
    </row>
    <row r="1570" spans="1:41" s="11" customFormat="1" ht="24" x14ac:dyDescent="0.25">
      <c r="A1570" s="2">
        <v>1569</v>
      </c>
      <c r="B1570" s="7" t="s">
        <v>1235</v>
      </c>
      <c r="C1570" s="7" t="s">
        <v>78</v>
      </c>
      <c r="D1570" s="7">
        <v>39</v>
      </c>
      <c r="E1570" s="7">
        <v>39</v>
      </c>
      <c r="F1570" s="8">
        <v>1</v>
      </c>
      <c r="G1570" s="8">
        <v>1</v>
      </c>
      <c r="H1570" s="7">
        <v>1</v>
      </c>
      <c r="I1570" s="7">
        <v>1</v>
      </c>
      <c r="J1570" s="9" t="s">
        <v>176</v>
      </c>
      <c r="K1570" s="7">
        <v>11</v>
      </c>
      <c r="L1570" s="7" t="s">
        <v>52</v>
      </c>
      <c r="M1570" s="7">
        <f t="shared" si="120"/>
        <v>1</v>
      </c>
      <c r="N1570" s="9" t="s">
        <v>177</v>
      </c>
      <c r="O1570" s="7">
        <v>0</v>
      </c>
      <c r="P1570" s="9" t="s">
        <v>63</v>
      </c>
      <c r="Q1570" s="7" t="s">
        <v>38</v>
      </c>
      <c r="R1570" s="7" t="s">
        <v>52</v>
      </c>
      <c r="S1570" s="10" t="s">
        <v>2261</v>
      </c>
      <c r="T1570" s="7">
        <v>5</v>
      </c>
      <c r="U1570" s="7">
        <v>5</v>
      </c>
      <c r="V1570" s="7">
        <v>40</v>
      </c>
      <c r="W1570" s="7" t="s">
        <v>266</v>
      </c>
      <c r="X1570" s="7"/>
      <c r="Y1570" s="7"/>
      <c r="Z1570" s="7"/>
      <c r="AA1570" s="7"/>
      <c r="AB1570" s="7">
        <f t="shared" si="122"/>
        <v>1.6666666666666667</v>
      </c>
      <c r="AC1570" s="7">
        <f t="shared" si="121"/>
        <v>1.6666666666666667</v>
      </c>
      <c r="AD1570" s="7"/>
      <c r="AE1570" s="7"/>
      <c r="AF1570" s="7"/>
      <c r="AG1570" s="7"/>
      <c r="AH1570" s="7"/>
      <c r="AI1570" s="7"/>
      <c r="AJ1570" s="7"/>
      <c r="AK1570" s="7"/>
      <c r="AL1570" s="9"/>
      <c r="AM1570" s="7" t="s">
        <v>215</v>
      </c>
      <c r="AN1570" s="7" t="s">
        <v>2850</v>
      </c>
      <c r="AO1570" s="12"/>
    </row>
    <row r="1571" spans="1:41" s="11" customFormat="1" x14ac:dyDescent="0.25">
      <c r="A1571" s="2">
        <v>1570</v>
      </c>
      <c r="B1571" s="7" t="s">
        <v>1235</v>
      </c>
      <c r="C1571" s="7" t="s">
        <v>100</v>
      </c>
      <c r="D1571" s="7">
        <v>1</v>
      </c>
      <c r="E1571" s="7">
        <v>1</v>
      </c>
      <c r="F1571" s="8">
        <v>1</v>
      </c>
      <c r="G1571" s="8">
        <v>1</v>
      </c>
      <c r="H1571" s="7">
        <v>1</v>
      </c>
      <c r="I1571" s="7">
        <v>1</v>
      </c>
      <c r="J1571" s="9" t="s">
        <v>176</v>
      </c>
      <c r="K1571" s="7">
        <v>11</v>
      </c>
      <c r="L1571" s="7" t="s">
        <v>52</v>
      </c>
      <c r="M1571" s="7">
        <f t="shared" si="120"/>
        <v>1</v>
      </c>
      <c r="N1571" s="9"/>
      <c r="O1571" s="7"/>
      <c r="P1571" s="9"/>
      <c r="Q1571" s="7"/>
      <c r="R1571" s="7"/>
      <c r="S1571" s="7"/>
      <c r="T1571" s="7"/>
      <c r="U1571" s="7"/>
      <c r="V1571" s="7"/>
      <c r="W1571" s="7"/>
      <c r="X1571" s="7">
        <v>3</v>
      </c>
      <c r="Y1571" s="7"/>
      <c r="Z1571" s="7"/>
      <c r="AA1571" s="7"/>
      <c r="AB1571" s="7">
        <f t="shared" si="122"/>
        <v>1</v>
      </c>
      <c r="AC1571" s="7">
        <f t="shared" si="121"/>
        <v>1</v>
      </c>
      <c r="AD1571" s="7"/>
      <c r="AE1571" s="7"/>
      <c r="AF1571" s="7"/>
      <c r="AG1571" s="7"/>
      <c r="AH1571" s="7"/>
      <c r="AI1571" s="7"/>
      <c r="AJ1571" s="7"/>
      <c r="AK1571" s="7"/>
      <c r="AL1571" s="9"/>
      <c r="AM1571" s="7" t="s">
        <v>71</v>
      </c>
      <c r="AN1571" s="7" t="s">
        <v>71</v>
      </c>
      <c r="AO1571" s="12"/>
    </row>
    <row r="1572" spans="1:41" s="11" customFormat="1" x14ac:dyDescent="0.25">
      <c r="A1572" s="2">
        <v>1571</v>
      </c>
      <c r="B1572" s="7" t="s">
        <v>1235</v>
      </c>
      <c r="C1572" s="7" t="s">
        <v>89</v>
      </c>
      <c r="D1572" s="7" t="s">
        <v>1336</v>
      </c>
      <c r="E1572" s="7">
        <f>8+6+4</f>
        <v>18</v>
      </c>
      <c r="F1572" s="8">
        <v>5</v>
      </c>
      <c r="G1572" s="8">
        <v>5</v>
      </c>
      <c r="H1572" s="7" t="s">
        <v>345</v>
      </c>
      <c r="I1572" s="7">
        <v>5</v>
      </c>
      <c r="J1572" s="9" t="s">
        <v>176</v>
      </c>
      <c r="K1572" s="9" t="s">
        <v>268</v>
      </c>
      <c r="L1572" s="7" t="s">
        <v>52</v>
      </c>
      <c r="M1572" s="7">
        <f t="shared" si="120"/>
        <v>5</v>
      </c>
      <c r="N1572" s="9"/>
      <c r="O1572" s="7"/>
      <c r="P1572" s="9"/>
      <c r="Q1572" s="7"/>
      <c r="R1572" s="7"/>
      <c r="S1572" s="7"/>
      <c r="T1572" s="7"/>
      <c r="U1572" s="7"/>
      <c r="V1572" s="7"/>
      <c r="W1572" s="7"/>
      <c r="X1572" s="7">
        <v>3</v>
      </c>
      <c r="Y1572" s="7"/>
      <c r="Z1572" s="7"/>
      <c r="AA1572" s="7"/>
      <c r="AB1572" s="7">
        <f t="shared" si="122"/>
        <v>1</v>
      </c>
      <c r="AC1572" s="7">
        <f t="shared" si="121"/>
        <v>1</v>
      </c>
      <c r="AD1572" s="7"/>
      <c r="AE1572" s="7"/>
      <c r="AF1572" s="7"/>
      <c r="AG1572" s="7"/>
      <c r="AH1572" s="7"/>
      <c r="AI1572" s="7" t="s">
        <v>1337</v>
      </c>
      <c r="AJ1572" s="7"/>
      <c r="AK1572" s="7"/>
      <c r="AL1572" s="9"/>
      <c r="AM1572" s="7" t="s">
        <v>71</v>
      </c>
      <c r="AN1572" s="7" t="s">
        <v>71</v>
      </c>
      <c r="AO1572" s="12"/>
    </row>
    <row r="1573" spans="1:41" s="11" customFormat="1" x14ac:dyDescent="0.25">
      <c r="A1573" s="2">
        <v>1572</v>
      </c>
      <c r="B1573" s="7" t="s">
        <v>1235</v>
      </c>
      <c r="C1573" s="7" t="s">
        <v>100</v>
      </c>
      <c r="D1573" s="7">
        <v>16</v>
      </c>
      <c r="E1573" s="7">
        <v>16</v>
      </c>
      <c r="F1573" s="8">
        <v>1</v>
      </c>
      <c r="G1573" s="8">
        <v>1</v>
      </c>
      <c r="H1573" s="7">
        <v>1</v>
      </c>
      <c r="I1573" s="7">
        <v>1</v>
      </c>
      <c r="J1573" s="9" t="s">
        <v>353</v>
      </c>
      <c r="K1573" s="7"/>
      <c r="L1573" s="7" t="s">
        <v>38</v>
      </c>
      <c r="M1573" s="7">
        <f t="shared" si="120"/>
        <v>0</v>
      </c>
      <c r="N1573" s="9"/>
      <c r="O1573" s="7"/>
      <c r="P1573" s="9"/>
      <c r="Q1573" s="7"/>
      <c r="R1573" s="7"/>
      <c r="S1573" s="7"/>
      <c r="T1573" s="7"/>
      <c r="U1573" s="7"/>
      <c r="V1573" s="7"/>
      <c r="W1573" s="7"/>
      <c r="X1573" s="7">
        <v>3</v>
      </c>
      <c r="Y1573" s="7"/>
      <c r="Z1573" s="7"/>
      <c r="AA1573" s="7"/>
      <c r="AB1573" s="7">
        <f t="shared" si="122"/>
        <v>1</v>
      </c>
      <c r="AC1573" s="7">
        <f t="shared" si="121"/>
        <v>0</v>
      </c>
      <c r="AD1573" s="7"/>
      <c r="AE1573" s="7"/>
      <c r="AF1573" s="7"/>
      <c r="AG1573" s="7"/>
      <c r="AH1573" s="7"/>
      <c r="AI1573" s="7"/>
      <c r="AJ1573" s="7"/>
      <c r="AK1573" s="7"/>
      <c r="AL1573" s="9"/>
      <c r="AM1573" s="7" t="s">
        <v>71</v>
      </c>
      <c r="AN1573" s="7" t="s">
        <v>71</v>
      </c>
      <c r="AO1573" s="12"/>
    </row>
    <row r="1574" spans="1:41" s="11" customFormat="1" x14ac:dyDescent="0.25">
      <c r="A1574" s="2">
        <v>1573</v>
      </c>
      <c r="B1574" s="7" t="s">
        <v>1235</v>
      </c>
      <c r="C1574" s="7" t="s">
        <v>89</v>
      </c>
      <c r="D1574" s="7">
        <v>20</v>
      </c>
      <c r="E1574" s="7">
        <v>20</v>
      </c>
      <c r="F1574" s="8">
        <v>5</v>
      </c>
      <c r="G1574" s="8">
        <v>5</v>
      </c>
      <c r="H1574" s="7" t="s">
        <v>345</v>
      </c>
      <c r="I1574" s="7">
        <v>5</v>
      </c>
      <c r="J1574" s="9" t="s">
        <v>639</v>
      </c>
      <c r="K1574" s="7"/>
      <c r="L1574" s="7" t="s">
        <v>38</v>
      </c>
      <c r="M1574" s="7">
        <f t="shared" si="120"/>
        <v>0</v>
      </c>
      <c r="N1574" s="9"/>
      <c r="O1574" s="7"/>
      <c r="P1574" s="9"/>
      <c r="Q1574" s="7"/>
      <c r="R1574" s="7"/>
      <c r="S1574" s="7"/>
      <c r="T1574" s="7"/>
      <c r="U1574" s="7"/>
      <c r="V1574" s="7"/>
      <c r="W1574" s="7"/>
      <c r="X1574" s="7">
        <v>3</v>
      </c>
      <c r="Y1574" s="7"/>
      <c r="Z1574" s="7"/>
      <c r="AA1574" s="7"/>
      <c r="AB1574" s="7">
        <f t="shared" si="122"/>
        <v>1</v>
      </c>
      <c r="AC1574" s="7">
        <f t="shared" si="121"/>
        <v>0</v>
      </c>
      <c r="AD1574" s="7"/>
      <c r="AE1574" s="7"/>
      <c r="AF1574" s="7"/>
      <c r="AG1574" s="7"/>
      <c r="AH1574" s="7"/>
      <c r="AI1574" s="7"/>
      <c r="AJ1574" s="7"/>
      <c r="AK1574" s="7"/>
      <c r="AL1574" s="9"/>
      <c r="AM1574" s="7"/>
      <c r="AN1574" s="7"/>
      <c r="AO1574" s="15" t="s">
        <v>2739</v>
      </c>
    </row>
    <row r="1575" spans="1:41" s="11" customFormat="1" x14ac:dyDescent="0.25">
      <c r="A1575" s="2">
        <v>1574</v>
      </c>
      <c r="B1575" s="7" t="s">
        <v>49</v>
      </c>
      <c r="C1575" s="7" t="s">
        <v>89</v>
      </c>
      <c r="D1575" s="7">
        <v>31</v>
      </c>
      <c r="E1575" s="7">
        <v>31</v>
      </c>
      <c r="F1575" s="8">
        <v>5</v>
      </c>
      <c r="G1575" s="8">
        <v>5</v>
      </c>
      <c r="H1575" s="7" t="s">
        <v>345</v>
      </c>
      <c r="I1575" s="7">
        <v>5</v>
      </c>
      <c r="J1575" s="9" t="s">
        <v>639</v>
      </c>
      <c r="K1575" s="7"/>
      <c r="L1575" s="7" t="s">
        <v>38</v>
      </c>
      <c r="M1575" s="7">
        <f t="shared" si="120"/>
        <v>0</v>
      </c>
      <c r="N1575" s="9"/>
      <c r="O1575" s="7"/>
      <c r="P1575" s="9"/>
      <c r="Q1575" s="7"/>
      <c r="R1575" s="7"/>
      <c r="S1575" s="7"/>
      <c r="T1575" s="7"/>
      <c r="U1575" s="7"/>
      <c r="V1575" s="7"/>
      <c r="W1575" s="7"/>
      <c r="X1575" s="7"/>
      <c r="Y1575" s="7"/>
      <c r="Z1575" s="7"/>
      <c r="AA1575" s="7"/>
      <c r="AB1575" s="7">
        <v>0.33333333333333298</v>
      </c>
      <c r="AC1575" s="7">
        <f t="shared" si="121"/>
        <v>0</v>
      </c>
      <c r="AD1575" s="7"/>
      <c r="AE1575" s="7"/>
      <c r="AF1575" s="7"/>
      <c r="AG1575" s="7"/>
      <c r="AH1575" s="7"/>
      <c r="AI1575" s="7"/>
      <c r="AJ1575" s="7"/>
      <c r="AK1575" s="7"/>
      <c r="AL1575" s="9"/>
      <c r="AM1575" s="7"/>
      <c r="AN1575" s="7"/>
      <c r="AO1575" s="15" t="s">
        <v>2740</v>
      </c>
    </row>
    <row r="1576" spans="1:41" s="11" customFormat="1" x14ac:dyDescent="0.25">
      <c r="A1576" s="2">
        <v>1575</v>
      </c>
      <c r="B1576" s="7" t="s">
        <v>103</v>
      </c>
      <c r="C1576" s="7" t="s">
        <v>78</v>
      </c>
      <c r="D1576" s="7">
        <v>9</v>
      </c>
      <c r="E1576" s="7">
        <v>9</v>
      </c>
      <c r="F1576" s="8">
        <v>1</v>
      </c>
      <c r="G1576" s="8">
        <v>1</v>
      </c>
      <c r="H1576" s="7">
        <v>1</v>
      </c>
      <c r="I1576" s="7">
        <v>1</v>
      </c>
      <c r="J1576" s="9" t="s">
        <v>639</v>
      </c>
      <c r="K1576" s="7"/>
      <c r="L1576" s="7" t="s">
        <v>38</v>
      </c>
      <c r="M1576" s="7">
        <f t="shared" si="120"/>
        <v>0</v>
      </c>
      <c r="N1576" s="9"/>
      <c r="O1576" s="7"/>
      <c r="P1576" s="9"/>
      <c r="Q1576" s="7"/>
      <c r="R1576" s="7"/>
      <c r="S1576" s="7"/>
      <c r="T1576" s="7"/>
      <c r="U1576" s="7"/>
      <c r="V1576" s="7"/>
      <c r="W1576" s="7"/>
      <c r="X1576" s="7"/>
      <c r="Y1576" s="7"/>
      <c r="Z1576" s="7"/>
      <c r="AA1576" s="7"/>
      <c r="AB1576" s="7">
        <v>0.33333333333333298</v>
      </c>
      <c r="AC1576" s="7">
        <f t="shared" si="121"/>
        <v>0</v>
      </c>
      <c r="AD1576" s="7"/>
      <c r="AE1576" s="7"/>
      <c r="AF1576" s="7"/>
      <c r="AG1576" s="7"/>
      <c r="AH1576" s="7"/>
      <c r="AI1576" s="7"/>
      <c r="AJ1576" s="7"/>
      <c r="AK1576" s="7"/>
      <c r="AL1576" s="9"/>
      <c r="AM1576" s="7"/>
      <c r="AN1576" s="7"/>
      <c r="AO1576" s="15" t="s">
        <v>2741</v>
      </c>
    </row>
    <row r="1577" spans="1:41" s="11" customFormat="1" x14ac:dyDescent="0.25">
      <c r="A1577" s="2">
        <v>1576</v>
      </c>
      <c r="B1577" s="7" t="s">
        <v>74</v>
      </c>
      <c r="C1577" s="7" t="s">
        <v>100</v>
      </c>
      <c r="D1577" s="7">
        <v>28</v>
      </c>
      <c r="E1577" s="7">
        <v>28</v>
      </c>
      <c r="F1577" s="8">
        <v>1</v>
      </c>
      <c r="G1577" s="8">
        <v>1</v>
      </c>
      <c r="H1577" s="7">
        <v>1</v>
      </c>
      <c r="I1577" s="7">
        <v>1</v>
      </c>
      <c r="J1577" s="9" t="s">
        <v>639</v>
      </c>
      <c r="K1577" s="7"/>
      <c r="L1577" s="7" t="s">
        <v>38</v>
      </c>
      <c r="M1577" s="7">
        <f t="shared" si="120"/>
        <v>0</v>
      </c>
      <c r="N1577" s="9"/>
      <c r="O1577" s="7"/>
      <c r="P1577" s="9"/>
      <c r="Q1577" s="7"/>
      <c r="R1577" s="7"/>
      <c r="S1577" s="7"/>
      <c r="T1577" s="7"/>
      <c r="U1577" s="7"/>
      <c r="V1577" s="7"/>
      <c r="W1577" s="7"/>
      <c r="X1577" s="7"/>
      <c r="Y1577" s="7"/>
      <c r="Z1577" s="7"/>
      <c r="AA1577" s="7"/>
      <c r="AB1577" s="7">
        <v>0.33333333333333298</v>
      </c>
      <c r="AC1577" s="7">
        <f t="shared" si="121"/>
        <v>0</v>
      </c>
      <c r="AD1577" s="7"/>
      <c r="AE1577" s="7"/>
      <c r="AF1577" s="7"/>
      <c r="AG1577" s="7"/>
      <c r="AH1577" s="7"/>
      <c r="AI1577" s="7"/>
      <c r="AJ1577" s="7"/>
      <c r="AK1577" s="7"/>
      <c r="AL1577" s="9"/>
      <c r="AM1577" s="7"/>
      <c r="AN1577" s="7"/>
      <c r="AO1577" s="15" t="s">
        <v>2742</v>
      </c>
    </row>
    <row r="1578" spans="1:41" s="11" customFormat="1" x14ac:dyDescent="0.25">
      <c r="A1578" s="2">
        <v>1577</v>
      </c>
      <c r="B1578" s="7" t="s">
        <v>72</v>
      </c>
      <c r="C1578" s="7" t="s">
        <v>100</v>
      </c>
      <c r="D1578" s="7">
        <v>4</v>
      </c>
      <c r="E1578" s="7">
        <v>4</v>
      </c>
      <c r="F1578" s="8">
        <v>1</v>
      </c>
      <c r="G1578" s="8">
        <v>1</v>
      </c>
      <c r="H1578" s="7">
        <v>1</v>
      </c>
      <c r="I1578" s="7">
        <v>1</v>
      </c>
      <c r="J1578" s="9" t="s">
        <v>639</v>
      </c>
      <c r="K1578" s="7"/>
      <c r="L1578" s="7" t="s">
        <v>38</v>
      </c>
      <c r="M1578" s="7">
        <f t="shared" si="120"/>
        <v>0</v>
      </c>
      <c r="N1578" s="9"/>
      <c r="O1578" s="7"/>
      <c r="P1578" s="9"/>
      <c r="Q1578" s="7"/>
      <c r="R1578" s="7"/>
      <c r="S1578" s="7"/>
      <c r="T1578" s="7"/>
      <c r="U1578" s="7"/>
      <c r="V1578" s="7"/>
      <c r="W1578" s="7"/>
      <c r="X1578" s="7"/>
      <c r="Y1578" s="7"/>
      <c r="Z1578" s="7"/>
      <c r="AA1578" s="7"/>
      <c r="AB1578" s="7">
        <v>0.33333333333333298</v>
      </c>
      <c r="AC1578" s="7">
        <f t="shared" si="121"/>
        <v>0</v>
      </c>
      <c r="AD1578" s="7"/>
      <c r="AE1578" s="7"/>
      <c r="AF1578" s="7"/>
      <c r="AG1578" s="7"/>
      <c r="AH1578" s="7"/>
      <c r="AI1578" s="7"/>
      <c r="AJ1578" s="7"/>
      <c r="AK1578" s="7"/>
      <c r="AL1578" s="9"/>
      <c r="AM1578" s="7"/>
      <c r="AN1578" s="7"/>
      <c r="AO1578" s="15" t="s">
        <v>2666</v>
      </c>
    </row>
    <row r="1579" spans="1:41" s="11" customFormat="1" x14ac:dyDescent="0.25">
      <c r="A1579" s="2">
        <v>1578</v>
      </c>
      <c r="B1579" s="7" t="s">
        <v>61</v>
      </c>
      <c r="C1579" s="7" t="s">
        <v>89</v>
      </c>
      <c r="D1579" s="7">
        <v>40</v>
      </c>
      <c r="E1579" s="7">
        <v>40</v>
      </c>
      <c r="F1579" s="8">
        <v>3</v>
      </c>
      <c r="G1579" s="8">
        <v>3</v>
      </c>
      <c r="H1579" s="7" t="s">
        <v>97</v>
      </c>
      <c r="I1579" s="7">
        <v>3</v>
      </c>
      <c r="J1579" s="9" t="s">
        <v>639</v>
      </c>
      <c r="K1579" s="7"/>
      <c r="L1579" s="7" t="s">
        <v>38</v>
      </c>
      <c r="M1579" s="7">
        <f t="shared" si="120"/>
        <v>0</v>
      </c>
      <c r="N1579" s="9"/>
      <c r="O1579" s="7"/>
      <c r="P1579" s="9"/>
      <c r="Q1579" s="7"/>
      <c r="R1579" s="7"/>
      <c r="S1579" s="7"/>
      <c r="T1579" s="7"/>
      <c r="U1579" s="7"/>
      <c r="V1579" s="7"/>
      <c r="W1579" s="7"/>
      <c r="X1579" s="7"/>
      <c r="Y1579" s="7"/>
      <c r="Z1579" s="7"/>
      <c r="AA1579" s="7"/>
      <c r="AB1579" s="7">
        <v>0.33333333333333298</v>
      </c>
      <c r="AC1579" s="7">
        <f t="shared" si="121"/>
        <v>0</v>
      </c>
      <c r="AD1579" s="7"/>
      <c r="AE1579" s="7"/>
      <c r="AF1579" s="7"/>
      <c r="AG1579" s="7"/>
      <c r="AH1579" s="7"/>
      <c r="AI1579" s="7"/>
      <c r="AJ1579" s="7"/>
      <c r="AK1579" s="7"/>
      <c r="AL1579" s="9"/>
      <c r="AM1579" s="7"/>
      <c r="AN1579" s="7"/>
      <c r="AO1579" s="15" t="s">
        <v>2743</v>
      </c>
    </row>
    <row r="1580" spans="1:41" s="11" customFormat="1" x14ac:dyDescent="0.25">
      <c r="A1580" s="2">
        <v>1579</v>
      </c>
      <c r="B1580" s="7" t="s">
        <v>722</v>
      </c>
      <c r="C1580" s="7" t="s">
        <v>32</v>
      </c>
      <c r="D1580" s="7">
        <v>67</v>
      </c>
      <c r="E1580" s="7">
        <v>67</v>
      </c>
      <c r="F1580" s="8">
        <v>1</v>
      </c>
      <c r="G1580" s="8">
        <v>2</v>
      </c>
      <c r="H1580" s="7">
        <v>2</v>
      </c>
      <c r="I1580" s="7">
        <v>2</v>
      </c>
      <c r="J1580" s="9" t="s">
        <v>35</v>
      </c>
      <c r="K1580" s="7">
        <v>2</v>
      </c>
      <c r="L1580" s="7" t="s">
        <v>52</v>
      </c>
      <c r="M1580" s="7">
        <f t="shared" si="120"/>
        <v>1</v>
      </c>
      <c r="N1580" s="9" t="s">
        <v>34</v>
      </c>
      <c r="O1580" s="7">
        <v>0</v>
      </c>
      <c r="P1580" s="9" t="s">
        <v>63</v>
      </c>
      <c r="Q1580" s="7" t="s">
        <v>38</v>
      </c>
      <c r="R1580" s="7" t="s">
        <v>38</v>
      </c>
      <c r="S1580" s="10" t="s">
        <v>2262</v>
      </c>
      <c r="T1580" s="7"/>
      <c r="U1580" s="7"/>
      <c r="V1580" s="7"/>
      <c r="W1580" s="7"/>
      <c r="X1580" s="7">
        <v>20</v>
      </c>
      <c r="Y1580" s="7">
        <v>100</v>
      </c>
      <c r="Z1580" s="7">
        <v>100</v>
      </c>
      <c r="AA1580" s="7">
        <v>39</v>
      </c>
      <c r="AB1580" s="7">
        <f t="shared" ref="AB1580:AB1585" si="123">(U1580+X1580+Z1580)/3</f>
        <v>40</v>
      </c>
      <c r="AC1580" s="7">
        <f t="shared" si="121"/>
        <v>40</v>
      </c>
      <c r="AD1580" s="7">
        <v>1</v>
      </c>
      <c r="AE1580" s="7"/>
      <c r="AF1580" s="7" t="s">
        <v>40</v>
      </c>
      <c r="AG1580" s="7" t="s">
        <v>1338</v>
      </c>
      <c r="AH1580" s="7" t="s">
        <v>38</v>
      </c>
      <c r="AI1580" s="7"/>
      <c r="AJ1580" s="7"/>
      <c r="AK1580" s="7"/>
      <c r="AL1580" s="9" t="s">
        <v>38</v>
      </c>
      <c r="AM1580" s="7" t="s">
        <v>42</v>
      </c>
      <c r="AN1580" s="7" t="s">
        <v>42</v>
      </c>
      <c r="AO1580" s="15" t="s">
        <v>2582</v>
      </c>
    </row>
    <row r="1581" spans="1:41" s="11" customFormat="1" x14ac:dyDescent="0.25">
      <c r="A1581" s="2">
        <v>1580</v>
      </c>
      <c r="B1581" s="7" t="s">
        <v>722</v>
      </c>
      <c r="C1581" s="7" t="s">
        <v>44</v>
      </c>
      <c r="D1581" s="7" t="s">
        <v>1339</v>
      </c>
      <c r="E1581" s="7">
        <v>121</v>
      </c>
      <c r="F1581" s="8">
        <v>1</v>
      </c>
      <c r="G1581" s="8">
        <v>5</v>
      </c>
      <c r="H1581" s="7">
        <v>5</v>
      </c>
      <c r="I1581" s="7">
        <v>5</v>
      </c>
      <c r="J1581" s="9" t="s">
        <v>35</v>
      </c>
      <c r="K1581" s="7">
        <v>1</v>
      </c>
      <c r="L1581" s="7" t="s">
        <v>52</v>
      </c>
      <c r="M1581" s="7">
        <f t="shared" si="120"/>
        <v>1</v>
      </c>
      <c r="N1581" s="9" t="s">
        <v>34</v>
      </c>
      <c r="O1581" s="7">
        <v>0</v>
      </c>
      <c r="P1581" s="9" t="s">
        <v>33</v>
      </c>
      <c r="Q1581" s="7" t="s">
        <v>38</v>
      </c>
      <c r="R1581" s="7" t="s">
        <v>38</v>
      </c>
      <c r="S1581" s="10" t="s">
        <v>2263</v>
      </c>
      <c r="T1581" s="7"/>
      <c r="U1581" s="7"/>
      <c r="V1581" s="7"/>
      <c r="W1581" s="7"/>
      <c r="X1581" s="7">
        <v>35</v>
      </c>
      <c r="Y1581" s="7">
        <v>100</v>
      </c>
      <c r="Z1581" s="7">
        <v>100</v>
      </c>
      <c r="AA1581" s="7">
        <v>46</v>
      </c>
      <c r="AB1581" s="7">
        <f t="shared" si="123"/>
        <v>45</v>
      </c>
      <c r="AC1581" s="7">
        <f t="shared" si="121"/>
        <v>45</v>
      </c>
      <c r="AD1581" s="7">
        <v>1</v>
      </c>
      <c r="AE1581" s="7">
        <v>2</v>
      </c>
      <c r="AF1581" s="7" t="s">
        <v>40</v>
      </c>
      <c r="AG1581" s="7" t="s">
        <v>1340</v>
      </c>
      <c r="AH1581" s="7" t="s">
        <v>38</v>
      </c>
      <c r="AI1581" s="7"/>
      <c r="AJ1581" s="10" t="s">
        <v>2418</v>
      </c>
      <c r="AK1581" s="10" t="s">
        <v>2496</v>
      </c>
      <c r="AL1581" s="9" t="s">
        <v>38</v>
      </c>
      <c r="AM1581" s="7" t="s">
        <v>42</v>
      </c>
      <c r="AN1581" s="7" t="s">
        <v>42</v>
      </c>
      <c r="AO1581" s="15" t="s">
        <v>2744</v>
      </c>
    </row>
    <row r="1582" spans="1:41" s="11" customFormat="1" x14ac:dyDescent="0.25">
      <c r="A1582" s="2">
        <v>1581</v>
      </c>
      <c r="B1582" s="7" t="s">
        <v>722</v>
      </c>
      <c r="C1582" s="7" t="s">
        <v>44</v>
      </c>
      <c r="D1582" s="7">
        <v>170</v>
      </c>
      <c r="E1582" s="7">
        <v>170</v>
      </c>
      <c r="F1582" s="8">
        <v>1</v>
      </c>
      <c r="G1582" s="8">
        <v>7</v>
      </c>
      <c r="H1582" s="7">
        <v>7</v>
      </c>
      <c r="I1582" s="7">
        <v>7</v>
      </c>
      <c r="J1582" s="9" t="s">
        <v>35</v>
      </c>
      <c r="K1582" s="7">
        <v>1</v>
      </c>
      <c r="L1582" s="7" t="s">
        <v>52</v>
      </c>
      <c r="M1582" s="7">
        <f t="shared" si="120"/>
        <v>1</v>
      </c>
      <c r="N1582" s="9" t="s">
        <v>36</v>
      </c>
      <c r="O1582" s="7">
        <v>0</v>
      </c>
      <c r="P1582" s="9" t="s">
        <v>33</v>
      </c>
      <c r="Q1582" s="7" t="s">
        <v>38</v>
      </c>
      <c r="R1582" s="7" t="s">
        <v>38</v>
      </c>
      <c r="S1582" s="10" t="s">
        <v>1931</v>
      </c>
      <c r="T1582" s="7"/>
      <c r="U1582" s="7"/>
      <c r="V1582" s="7"/>
      <c r="W1582" s="7"/>
      <c r="X1582" s="7">
        <v>65</v>
      </c>
      <c r="Y1582" s="7">
        <v>90</v>
      </c>
      <c r="Z1582" s="7">
        <v>90</v>
      </c>
      <c r="AA1582" s="7">
        <v>48</v>
      </c>
      <c r="AB1582" s="7">
        <f t="shared" si="123"/>
        <v>51.666666666666664</v>
      </c>
      <c r="AC1582" s="7">
        <f t="shared" si="121"/>
        <v>51.666666666666664</v>
      </c>
      <c r="AD1582" s="7">
        <v>1</v>
      </c>
      <c r="AE1582" s="7">
        <v>2</v>
      </c>
      <c r="AF1582" s="7" t="s">
        <v>40</v>
      </c>
      <c r="AG1582" s="7" t="s">
        <v>1340</v>
      </c>
      <c r="AH1582" s="7" t="s">
        <v>38</v>
      </c>
      <c r="AI1582" s="7"/>
      <c r="AJ1582" s="7"/>
      <c r="AK1582" s="7"/>
      <c r="AL1582" s="9" t="s">
        <v>38</v>
      </c>
      <c r="AM1582" s="7" t="s">
        <v>42</v>
      </c>
      <c r="AN1582" s="7" t="s">
        <v>42</v>
      </c>
      <c r="AO1582" s="15" t="s">
        <v>2745</v>
      </c>
    </row>
    <row r="1583" spans="1:41" s="11" customFormat="1" ht="48" x14ac:dyDescent="0.25">
      <c r="A1583" s="2">
        <v>1582</v>
      </c>
      <c r="B1583" s="7" t="s">
        <v>722</v>
      </c>
      <c r="C1583" s="7" t="s">
        <v>421</v>
      </c>
      <c r="D1583" s="7">
        <v>285</v>
      </c>
      <c r="E1583" s="7">
        <v>285</v>
      </c>
      <c r="F1583" s="8">
        <v>1</v>
      </c>
      <c r="G1583" s="8">
        <v>10</v>
      </c>
      <c r="H1583" s="7">
        <v>10</v>
      </c>
      <c r="I1583" s="7">
        <v>10</v>
      </c>
      <c r="J1583" s="7" t="s">
        <v>1490</v>
      </c>
      <c r="K1583" s="7">
        <v>1</v>
      </c>
      <c r="L1583" s="7" t="s">
        <v>52</v>
      </c>
      <c r="M1583" s="7">
        <f t="shared" si="120"/>
        <v>1</v>
      </c>
      <c r="N1583" s="9">
        <v>3</v>
      </c>
      <c r="O1583" s="7">
        <v>0</v>
      </c>
      <c r="P1583" s="7">
        <v>1</v>
      </c>
      <c r="Q1583" s="7" t="s">
        <v>38</v>
      </c>
      <c r="R1583" s="7" t="s">
        <v>38</v>
      </c>
      <c r="S1583" s="10" t="s">
        <v>2108</v>
      </c>
      <c r="T1583" s="7">
        <v>15</v>
      </c>
      <c r="U1583" s="7">
        <v>15</v>
      </c>
      <c r="V1583" s="7">
        <v>70</v>
      </c>
      <c r="W1583" s="7" t="s">
        <v>1341</v>
      </c>
      <c r="X1583" s="7">
        <v>80</v>
      </c>
      <c r="Y1583" s="7">
        <v>100</v>
      </c>
      <c r="Z1583" s="7">
        <v>100</v>
      </c>
      <c r="AA1583" s="7">
        <v>58</v>
      </c>
      <c r="AB1583" s="7">
        <f t="shared" si="123"/>
        <v>65</v>
      </c>
      <c r="AC1583" s="7">
        <f t="shared" si="121"/>
        <v>65</v>
      </c>
      <c r="AD1583" s="7">
        <v>3</v>
      </c>
      <c r="AE1583" s="7"/>
      <c r="AF1583" s="7" t="s">
        <v>40</v>
      </c>
      <c r="AG1583" s="7" t="s">
        <v>1342</v>
      </c>
      <c r="AH1583" s="7" t="s">
        <v>38</v>
      </c>
      <c r="AI1583" s="7"/>
      <c r="AJ1583" s="10" t="s">
        <v>2419</v>
      </c>
      <c r="AK1583" s="7" t="s">
        <v>252</v>
      </c>
      <c r="AL1583" s="7" t="s">
        <v>38</v>
      </c>
      <c r="AM1583" s="7" t="s">
        <v>42</v>
      </c>
      <c r="AN1583" s="7" t="s">
        <v>42</v>
      </c>
      <c r="AO1583" s="15" t="s">
        <v>2746</v>
      </c>
    </row>
    <row r="1584" spans="1:41" s="11" customFormat="1" ht="24" x14ac:dyDescent="0.25">
      <c r="A1584" s="2">
        <v>1583</v>
      </c>
      <c r="B1584" s="7" t="s">
        <v>1343</v>
      </c>
      <c r="C1584" s="7" t="s">
        <v>249</v>
      </c>
      <c r="D1584" s="7" t="s">
        <v>1344</v>
      </c>
      <c r="E1584" s="7">
        <f>130+35+11</f>
        <v>176</v>
      </c>
      <c r="F1584" s="8">
        <v>1</v>
      </c>
      <c r="G1584" s="9" t="s">
        <v>360</v>
      </c>
      <c r="H1584" s="7" t="s">
        <v>1345</v>
      </c>
      <c r="I1584" s="7">
        <v>9</v>
      </c>
      <c r="J1584" s="9" t="s">
        <v>35</v>
      </c>
      <c r="K1584" s="7">
        <v>2</v>
      </c>
      <c r="L1584" s="7" t="s">
        <v>52</v>
      </c>
      <c r="M1584" s="7">
        <f t="shared" si="120"/>
        <v>1</v>
      </c>
      <c r="N1584" s="9" t="s">
        <v>34</v>
      </c>
      <c r="O1584" s="7">
        <v>1</v>
      </c>
      <c r="P1584" s="9" t="s">
        <v>37</v>
      </c>
      <c r="Q1584" s="7" t="s">
        <v>38</v>
      </c>
      <c r="R1584" s="7" t="s">
        <v>38</v>
      </c>
      <c r="S1584" s="10" t="s">
        <v>1931</v>
      </c>
      <c r="T1584" s="7"/>
      <c r="U1584" s="7"/>
      <c r="V1584" s="7"/>
      <c r="W1584" s="7"/>
      <c r="X1584" s="7">
        <v>10</v>
      </c>
      <c r="Y1584" s="7">
        <v>10</v>
      </c>
      <c r="Z1584" s="7">
        <v>110</v>
      </c>
      <c r="AA1584" s="7"/>
      <c r="AB1584" s="7">
        <f t="shared" si="123"/>
        <v>40</v>
      </c>
      <c r="AC1584" s="7">
        <f t="shared" si="121"/>
        <v>40</v>
      </c>
      <c r="AD1584" s="7"/>
      <c r="AE1584" s="7">
        <v>4</v>
      </c>
      <c r="AF1584" s="7" t="s">
        <v>40</v>
      </c>
      <c r="AG1584" s="7" t="s">
        <v>1346</v>
      </c>
      <c r="AH1584" s="7" t="s">
        <v>38</v>
      </c>
      <c r="AI1584" s="7"/>
      <c r="AJ1584" s="10" t="s">
        <v>2420</v>
      </c>
      <c r="AK1584" s="10" t="s">
        <v>2496</v>
      </c>
      <c r="AL1584" s="9" t="s">
        <v>38</v>
      </c>
      <c r="AM1584" s="7" t="s">
        <v>42</v>
      </c>
      <c r="AN1584" s="7" t="s">
        <v>42</v>
      </c>
      <c r="AO1584" s="15" t="s">
        <v>2747</v>
      </c>
    </row>
    <row r="1585" spans="1:41" s="11" customFormat="1" ht="36" x14ac:dyDescent="0.25">
      <c r="A1585" s="2">
        <v>1584</v>
      </c>
      <c r="B1585" s="7" t="s">
        <v>1347</v>
      </c>
      <c r="C1585" s="7" t="s">
        <v>44</v>
      </c>
      <c r="D1585" s="7" t="s">
        <v>1348</v>
      </c>
      <c r="E1585" s="7">
        <f>219+69+27+16+11+9+2</f>
        <v>353</v>
      </c>
      <c r="F1585" s="8">
        <v>1</v>
      </c>
      <c r="G1585" s="8">
        <v>9</v>
      </c>
      <c r="H1585" s="7" t="s">
        <v>1349</v>
      </c>
      <c r="I1585" s="7">
        <v>9</v>
      </c>
      <c r="J1585" s="9" t="s">
        <v>35</v>
      </c>
      <c r="K1585" s="7">
        <v>1</v>
      </c>
      <c r="L1585" s="7" t="s">
        <v>52</v>
      </c>
      <c r="M1585" s="7">
        <f t="shared" si="120"/>
        <v>1</v>
      </c>
      <c r="N1585" s="9" t="s">
        <v>36</v>
      </c>
      <c r="O1585" s="7">
        <v>0</v>
      </c>
      <c r="P1585" s="9" t="s">
        <v>36</v>
      </c>
      <c r="Q1585" s="7" t="s">
        <v>38</v>
      </c>
      <c r="R1585" s="7" t="s">
        <v>38</v>
      </c>
      <c r="S1585" s="10" t="s">
        <v>2264</v>
      </c>
      <c r="T1585" s="7" t="s">
        <v>1350</v>
      </c>
      <c r="U1585" s="7">
        <v>30</v>
      </c>
      <c r="V1585" s="7">
        <v>130</v>
      </c>
      <c r="W1585" s="7" t="s">
        <v>1351</v>
      </c>
      <c r="X1585" s="7">
        <v>20</v>
      </c>
      <c r="Y1585" s="7">
        <v>50</v>
      </c>
      <c r="Z1585" s="7">
        <v>50</v>
      </c>
      <c r="AA1585" s="7">
        <v>86</v>
      </c>
      <c r="AB1585" s="7">
        <f t="shared" si="123"/>
        <v>33.333333333333336</v>
      </c>
      <c r="AC1585" s="7">
        <f t="shared" si="121"/>
        <v>33.333333333333336</v>
      </c>
      <c r="AD1585" s="7">
        <v>2</v>
      </c>
      <c r="AE1585" s="7">
        <v>4</v>
      </c>
      <c r="AF1585" s="7" t="s">
        <v>40</v>
      </c>
      <c r="AG1585" s="7" t="s">
        <v>1352</v>
      </c>
      <c r="AH1585" s="7" t="s">
        <v>38</v>
      </c>
      <c r="AI1585" s="7"/>
      <c r="AJ1585" s="7"/>
      <c r="AK1585" s="10" t="s">
        <v>2497</v>
      </c>
      <c r="AL1585" s="9" t="s">
        <v>38</v>
      </c>
      <c r="AM1585" s="7" t="s">
        <v>42</v>
      </c>
      <c r="AN1585" s="7" t="s">
        <v>42</v>
      </c>
      <c r="AO1585" s="15" t="s">
        <v>2748</v>
      </c>
    </row>
    <row r="1586" spans="1:41" s="11" customFormat="1" x14ac:dyDescent="0.25">
      <c r="A1586" s="2">
        <v>1585</v>
      </c>
      <c r="B1586" s="7"/>
      <c r="C1586" s="7"/>
      <c r="D1586" s="7"/>
      <c r="E1586" s="7"/>
      <c r="F1586" s="9"/>
      <c r="G1586" s="9"/>
      <c r="H1586" s="7"/>
      <c r="I1586" s="7"/>
      <c r="J1586" s="7"/>
      <c r="K1586" s="7"/>
      <c r="L1586" s="7"/>
      <c r="M1586" s="7">
        <f t="shared" si="120"/>
        <v>0</v>
      </c>
      <c r="N1586" s="9"/>
      <c r="O1586" s="7"/>
      <c r="P1586" s="9"/>
      <c r="Q1586" s="7"/>
      <c r="R1586" s="7"/>
      <c r="S1586" s="7"/>
      <c r="T1586" s="7"/>
      <c r="U1586" s="7"/>
      <c r="V1586" s="7"/>
      <c r="W1586" s="7"/>
      <c r="X1586" s="7"/>
      <c r="Y1586" s="7"/>
      <c r="Z1586" s="7"/>
      <c r="AA1586" s="7"/>
      <c r="AB1586" s="7">
        <v>0.33333333333333298</v>
      </c>
      <c r="AC1586" s="7">
        <f t="shared" si="121"/>
        <v>0</v>
      </c>
      <c r="AD1586" s="7"/>
      <c r="AE1586" s="7"/>
      <c r="AF1586" s="7"/>
      <c r="AG1586" s="7"/>
      <c r="AH1586" s="7"/>
      <c r="AI1586" s="7"/>
      <c r="AJ1586" s="7"/>
      <c r="AK1586" s="7"/>
      <c r="AL1586" s="9"/>
      <c r="AM1586" s="7"/>
      <c r="AN1586" s="7"/>
      <c r="AO1586" s="15" t="s">
        <v>2749</v>
      </c>
    </row>
    <row r="1587" spans="1:41" s="11" customFormat="1" ht="24" x14ac:dyDescent="0.25">
      <c r="A1587" s="2">
        <v>1586</v>
      </c>
      <c r="B1587" s="7" t="s">
        <v>722</v>
      </c>
      <c r="C1587" s="7" t="s">
        <v>421</v>
      </c>
      <c r="D1587" s="7" t="s">
        <v>1353</v>
      </c>
      <c r="E1587" s="7">
        <f>83+7+4</f>
        <v>94</v>
      </c>
      <c r="F1587" s="8">
        <v>1</v>
      </c>
      <c r="G1587" s="8">
        <v>12</v>
      </c>
      <c r="H1587" s="7" t="s">
        <v>1354</v>
      </c>
      <c r="I1587" s="7">
        <v>12</v>
      </c>
      <c r="J1587" s="9" t="s">
        <v>35</v>
      </c>
      <c r="K1587" s="7">
        <v>2</v>
      </c>
      <c r="L1587" s="7" t="s">
        <v>52</v>
      </c>
      <c r="M1587" s="7">
        <f t="shared" si="120"/>
        <v>1</v>
      </c>
      <c r="N1587" s="9" t="s">
        <v>34</v>
      </c>
      <c r="O1587" s="7">
        <v>1</v>
      </c>
      <c r="P1587" s="9" t="s">
        <v>63</v>
      </c>
      <c r="Q1587" s="7" t="s">
        <v>38</v>
      </c>
      <c r="R1587" s="7" t="s">
        <v>38</v>
      </c>
      <c r="S1587" s="10" t="s">
        <v>2265</v>
      </c>
      <c r="T1587" s="7">
        <v>15</v>
      </c>
      <c r="U1587" s="7">
        <v>15</v>
      </c>
      <c r="V1587" s="7">
        <v>65</v>
      </c>
      <c r="W1587" s="7" t="s">
        <v>83</v>
      </c>
      <c r="X1587" s="7">
        <v>65</v>
      </c>
      <c r="Y1587" s="7">
        <v>100</v>
      </c>
      <c r="Z1587" s="7">
        <v>100</v>
      </c>
      <c r="AA1587" s="7">
        <v>45</v>
      </c>
      <c r="AB1587" s="7">
        <f t="shared" ref="AB1587:AB1611" si="124">(U1587+X1587+Z1587)/3</f>
        <v>60</v>
      </c>
      <c r="AC1587" s="7">
        <f t="shared" si="121"/>
        <v>60</v>
      </c>
      <c r="AD1587" s="7"/>
      <c r="AE1587" s="7">
        <v>1</v>
      </c>
      <c r="AF1587" s="7" t="s">
        <v>40</v>
      </c>
      <c r="AG1587" s="7" t="s">
        <v>1355</v>
      </c>
      <c r="AH1587" s="7" t="s">
        <v>38</v>
      </c>
      <c r="AI1587" s="7"/>
      <c r="AJ1587" s="10" t="s">
        <v>2421</v>
      </c>
      <c r="AK1587" s="10" t="s">
        <v>2498</v>
      </c>
      <c r="AL1587" s="9" t="s">
        <v>38</v>
      </c>
      <c r="AM1587" s="7" t="s">
        <v>42</v>
      </c>
      <c r="AN1587" s="7" t="s">
        <v>42</v>
      </c>
      <c r="AO1587" s="12"/>
    </row>
    <row r="1588" spans="1:41" s="11" customFormat="1" x14ac:dyDescent="0.25">
      <c r="A1588" s="2">
        <v>1587</v>
      </c>
      <c r="B1588" s="7" t="s">
        <v>722</v>
      </c>
      <c r="C1588" s="7" t="s">
        <v>32</v>
      </c>
      <c r="D1588" s="7">
        <v>183</v>
      </c>
      <c r="E1588" s="7">
        <v>183</v>
      </c>
      <c r="F1588" s="8">
        <v>1</v>
      </c>
      <c r="G1588" s="8">
        <v>1</v>
      </c>
      <c r="H1588" s="7">
        <v>1</v>
      </c>
      <c r="I1588" s="7">
        <v>1</v>
      </c>
      <c r="J1588" s="9" t="s">
        <v>35</v>
      </c>
      <c r="K1588" s="7">
        <v>2</v>
      </c>
      <c r="L1588" s="7" t="s">
        <v>52</v>
      </c>
      <c r="M1588" s="7">
        <f t="shared" si="120"/>
        <v>1</v>
      </c>
      <c r="N1588" s="9" t="s">
        <v>34</v>
      </c>
      <c r="O1588" s="7">
        <v>1</v>
      </c>
      <c r="P1588" s="9" t="s">
        <v>63</v>
      </c>
      <c r="Q1588" s="7" t="s">
        <v>38</v>
      </c>
      <c r="R1588" s="7" t="s">
        <v>38</v>
      </c>
      <c r="S1588" s="10" t="s">
        <v>2266</v>
      </c>
      <c r="T1588" s="7"/>
      <c r="U1588" s="7"/>
      <c r="V1588" s="7"/>
      <c r="W1588" s="7"/>
      <c r="X1588" s="7">
        <v>50</v>
      </c>
      <c r="Y1588" s="7">
        <v>100</v>
      </c>
      <c r="Z1588" s="7">
        <v>100</v>
      </c>
      <c r="AA1588" s="7">
        <v>69</v>
      </c>
      <c r="AB1588" s="7">
        <f t="shared" si="124"/>
        <v>50</v>
      </c>
      <c r="AC1588" s="7">
        <f t="shared" si="121"/>
        <v>50</v>
      </c>
      <c r="AD1588" s="7"/>
      <c r="AE1588" s="7">
        <v>2</v>
      </c>
      <c r="AF1588" s="7" t="s">
        <v>40</v>
      </c>
      <c r="AG1588" s="7" t="s">
        <v>1356</v>
      </c>
      <c r="AH1588" s="7" t="s">
        <v>38</v>
      </c>
      <c r="AI1588" s="7"/>
      <c r="AJ1588" s="7"/>
      <c r="AK1588" s="7"/>
      <c r="AL1588" s="9" t="s">
        <v>38</v>
      </c>
      <c r="AM1588" s="7" t="s">
        <v>42</v>
      </c>
      <c r="AN1588" s="7" t="s">
        <v>42</v>
      </c>
      <c r="AO1588" s="15" t="s">
        <v>2750</v>
      </c>
    </row>
    <row r="1589" spans="1:41" s="11" customFormat="1" ht="36" x14ac:dyDescent="0.25">
      <c r="A1589" s="2">
        <v>1588</v>
      </c>
      <c r="B1589" s="7" t="s">
        <v>722</v>
      </c>
      <c r="C1589" s="7" t="s">
        <v>421</v>
      </c>
      <c r="D1589" s="7" t="s">
        <v>1357</v>
      </c>
      <c r="E1589" s="7">
        <f>378+37+30+4</f>
        <v>449</v>
      </c>
      <c r="F1589" s="8">
        <v>1</v>
      </c>
      <c r="G1589" s="8">
        <v>10</v>
      </c>
      <c r="H1589" s="7" t="s">
        <v>243</v>
      </c>
      <c r="I1589" s="7">
        <v>10</v>
      </c>
      <c r="J1589" s="9" t="s">
        <v>35</v>
      </c>
      <c r="K1589" s="7">
        <v>1</v>
      </c>
      <c r="L1589" s="7" t="s">
        <v>52</v>
      </c>
      <c r="M1589" s="7">
        <f t="shared" si="120"/>
        <v>1</v>
      </c>
      <c r="N1589" s="9" t="s">
        <v>36</v>
      </c>
      <c r="O1589" s="7">
        <v>1</v>
      </c>
      <c r="P1589" s="9" t="s">
        <v>33</v>
      </c>
      <c r="Q1589" s="7" t="s">
        <v>38</v>
      </c>
      <c r="R1589" s="7" t="s">
        <v>38</v>
      </c>
      <c r="S1589" s="10" t="s">
        <v>2267</v>
      </c>
      <c r="T1589" s="7">
        <v>27</v>
      </c>
      <c r="U1589" s="7">
        <v>27</v>
      </c>
      <c r="V1589" s="7">
        <v>95</v>
      </c>
      <c r="W1589" s="7" t="s">
        <v>1358</v>
      </c>
      <c r="X1589" s="7">
        <v>65</v>
      </c>
      <c r="Y1589" s="7">
        <v>100</v>
      </c>
      <c r="Z1589" s="7">
        <v>100</v>
      </c>
      <c r="AA1589" s="7">
        <v>72</v>
      </c>
      <c r="AB1589" s="7">
        <f t="shared" si="124"/>
        <v>64</v>
      </c>
      <c r="AC1589" s="7">
        <f t="shared" si="121"/>
        <v>64</v>
      </c>
      <c r="AD1589" s="7">
        <v>1</v>
      </c>
      <c r="AE1589" s="7">
        <v>1</v>
      </c>
      <c r="AF1589" s="7" t="s">
        <v>40</v>
      </c>
      <c r="AG1589" s="7" t="s">
        <v>1359</v>
      </c>
      <c r="AH1589" s="7"/>
      <c r="AI1589" s="7"/>
      <c r="AJ1589" s="7"/>
      <c r="AK1589" s="7" t="s">
        <v>252</v>
      </c>
      <c r="AL1589" s="9"/>
      <c r="AM1589" s="7" t="s">
        <v>42</v>
      </c>
      <c r="AN1589" s="7" t="s">
        <v>42</v>
      </c>
      <c r="AO1589" s="15" t="s">
        <v>2751</v>
      </c>
    </row>
    <row r="1590" spans="1:41" s="11" customFormat="1" ht="24" x14ac:dyDescent="0.25">
      <c r="A1590" s="2">
        <v>1589</v>
      </c>
      <c r="B1590" s="7" t="s">
        <v>856</v>
      </c>
      <c r="C1590" s="7" t="s">
        <v>107</v>
      </c>
      <c r="D1590" s="7" t="s">
        <v>1360</v>
      </c>
      <c r="E1590" s="7">
        <f>165+139+137+102+97+90+46+36+34+15</f>
        <v>861</v>
      </c>
      <c r="F1590" s="8">
        <v>1</v>
      </c>
      <c r="G1590" s="8">
        <v>14</v>
      </c>
      <c r="H1590" s="7" t="s">
        <v>1361</v>
      </c>
      <c r="I1590" s="7">
        <v>14</v>
      </c>
      <c r="J1590" s="9" t="s">
        <v>176</v>
      </c>
      <c r="K1590" s="9" t="s">
        <v>268</v>
      </c>
      <c r="L1590" s="7" t="s">
        <v>52</v>
      </c>
      <c r="M1590" s="7">
        <f t="shared" si="120"/>
        <v>1</v>
      </c>
      <c r="N1590" s="9" t="s">
        <v>109</v>
      </c>
      <c r="O1590" s="7">
        <v>2</v>
      </c>
      <c r="P1590" s="9" t="s">
        <v>63</v>
      </c>
      <c r="Q1590" s="9" t="s">
        <v>38</v>
      </c>
      <c r="R1590" s="9" t="s">
        <v>38</v>
      </c>
      <c r="S1590" s="13" t="s">
        <v>2268</v>
      </c>
      <c r="T1590" s="7"/>
      <c r="U1590" s="7"/>
      <c r="V1590" s="7"/>
      <c r="W1590" s="7"/>
      <c r="X1590" s="7">
        <v>7</v>
      </c>
      <c r="Y1590" s="7">
        <v>15</v>
      </c>
      <c r="Z1590" s="7">
        <v>15</v>
      </c>
      <c r="AA1590" s="7">
        <v>170</v>
      </c>
      <c r="AB1590" s="7">
        <f t="shared" si="124"/>
        <v>7.333333333333333</v>
      </c>
      <c r="AC1590" s="7">
        <f t="shared" si="121"/>
        <v>7.333333333333333</v>
      </c>
      <c r="AD1590" s="7"/>
      <c r="AE1590" s="7"/>
      <c r="AF1590" s="7"/>
      <c r="AG1590" s="7"/>
      <c r="AH1590" s="7"/>
      <c r="AI1590" s="7" t="s">
        <v>474</v>
      </c>
      <c r="AJ1590" s="7"/>
      <c r="AK1590" s="7"/>
      <c r="AL1590" s="9"/>
      <c r="AM1590" s="7" t="s">
        <v>1362</v>
      </c>
      <c r="AN1590" s="7" t="s">
        <v>662</v>
      </c>
      <c r="AO1590" s="15" t="s">
        <v>2752</v>
      </c>
    </row>
    <row r="1591" spans="1:41" s="11" customFormat="1" ht="36" x14ac:dyDescent="0.25">
      <c r="A1591" s="2">
        <v>1590</v>
      </c>
      <c r="B1591" s="7" t="s">
        <v>296</v>
      </c>
      <c r="C1591" s="7" t="s">
        <v>1090</v>
      </c>
      <c r="D1591" s="7" t="s">
        <v>1363</v>
      </c>
      <c r="E1591" s="7">
        <f>59+40+36+31+43+20+36+25+22+9+8</f>
        <v>329</v>
      </c>
      <c r="F1591" s="8">
        <v>1</v>
      </c>
      <c r="G1591" s="8">
        <v>20</v>
      </c>
      <c r="H1591" s="7" t="s">
        <v>1364</v>
      </c>
      <c r="I1591" s="7">
        <v>20</v>
      </c>
      <c r="J1591" s="9" t="s">
        <v>176</v>
      </c>
      <c r="K1591" s="7">
        <v>6</v>
      </c>
      <c r="L1591" s="7" t="s">
        <v>52</v>
      </c>
      <c r="M1591" s="7">
        <f t="shared" si="120"/>
        <v>1</v>
      </c>
      <c r="N1591" s="9" t="s">
        <v>177</v>
      </c>
      <c r="O1591" s="7">
        <v>0</v>
      </c>
      <c r="P1591" s="9" t="s">
        <v>63</v>
      </c>
      <c r="Q1591" s="7" t="s">
        <v>38</v>
      </c>
      <c r="R1591" s="7" t="s">
        <v>52</v>
      </c>
      <c r="S1591" s="10" t="s">
        <v>2269</v>
      </c>
      <c r="T1591" s="7" t="s">
        <v>1365</v>
      </c>
      <c r="U1591" s="7">
        <v>52</v>
      </c>
      <c r="V1591" s="7">
        <v>155</v>
      </c>
      <c r="W1591" s="7" t="s">
        <v>79</v>
      </c>
      <c r="X1591" s="7">
        <v>10</v>
      </c>
      <c r="Y1591" s="7"/>
      <c r="Z1591" s="7"/>
      <c r="AA1591" s="7"/>
      <c r="AB1591" s="7">
        <f t="shared" si="124"/>
        <v>20.666666666666668</v>
      </c>
      <c r="AC1591" s="7">
        <f t="shared" si="121"/>
        <v>20.666666666666668</v>
      </c>
      <c r="AD1591" s="7"/>
      <c r="AE1591" s="7">
        <v>1</v>
      </c>
      <c r="AF1591" s="7" t="s">
        <v>1366</v>
      </c>
      <c r="AG1591" s="7" t="s">
        <v>1367</v>
      </c>
      <c r="AH1591" s="7"/>
      <c r="AI1591" s="7" t="s">
        <v>1368</v>
      </c>
      <c r="AJ1591" s="7" t="s">
        <v>1369</v>
      </c>
      <c r="AK1591" s="7"/>
      <c r="AL1591" s="9"/>
      <c r="AM1591" s="7" t="s">
        <v>1257</v>
      </c>
      <c r="AN1591" s="7" t="s">
        <v>2845</v>
      </c>
      <c r="AO1591" s="15" t="s">
        <v>2753</v>
      </c>
    </row>
    <row r="1592" spans="1:41" s="11" customFormat="1" ht="48" x14ac:dyDescent="0.25">
      <c r="A1592" s="2">
        <v>1591</v>
      </c>
      <c r="B1592" s="7" t="s">
        <v>856</v>
      </c>
      <c r="C1592" s="7" t="s">
        <v>78</v>
      </c>
      <c r="D1592" s="7">
        <v>120</v>
      </c>
      <c r="E1592" s="7">
        <v>120</v>
      </c>
      <c r="F1592" s="8">
        <v>1</v>
      </c>
      <c r="G1592" s="8">
        <v>1</v>
      </c>
      <c r="H1592" s="7">
        <v>1</v>
      </c>
      <c r="I1592" s="7">
        <v>1</v>
      </c>
      <c r="J1592" s="9" t="s">
        <v>176</v>
      </c>
      <c r="K1592" s="7">
        <v>6</v>
      </c>
      <c r="L1592" s="7" t="s">
        <v>52</v>
      </c>
      <c r="M1592" s="7">
        <f t="shared" si="120"/>
        <v>1</v>
      </c>
      <c r="N1592" s="9" t="s">
        <v>177</v>
      </c>
      <c r="O1592" s="7">
        <v>0</v>
      </c>
      <c r="P1592" s="9" t="s">
        <v>63</v>
      </c>
      <c r="Q1592" s="7" t="s">
        <v>38</v>
      </c>
      <c r="R1592" s="7" t="s">
        <v>52</v>
      </c>
      <c r="S1592" s="10" t="s">
        <v>2270</v>
      </c>
      <c r="T1592" s="7">
        <v>22</v>
      </c>
      <c r="U1592" s="7">
        <v>22</v>
      </c>
      <c r="V1592" s="7">
        <v>200</v>
      </c>
      <c r="W1592" s="7" t="s">
        <v>1370</v>
      </c>
      <c r="X1592" s="7"/>
      <c r="Y1592" s="7"/>
      <c r="Z1592" s="7"/>
      <c r="AA1592" s="7"/>
      <c r="AB1592" s="7">
        <f t="shared" si="124"/>
        <v>7.333333333333333</v>
      </c>
      <c r="AC1592" s="7">
        <f t="shared" si="121"/>
        <v>7.333333333333333</v>
      </c>
      <c r="AD1592" s="7"/>
      <c r="AE1592" s="7"/>
      <c r="AF1592" s="7"/>
      <c r="AG1592" s="7"/>
      <c r="AH1592" s="7"/>
      <c r="AI1592" s="10" t="s">
        <v>2329</v>
      </c>
      <c r="AJ1592" s="10" t="s">
        <v>2422</v>
      </c>
      <c r="AK1592" s="7"/>
      <c r="AL1592" s="9" t="s">
        <v>38</v>
      </c>
      <c r="AM1592" s="7" t="s">
        <v>1371</v>
      </c>
      <c r="AN1592" s="7" t="s">
        <v>662</v>
      </c>
      <c r="AO1592" s="15" t="s">
        <v>2754</v>
      </c>
    </row>
    <row r="1593" spans="1:41" s="11" customFormat="1" ht="36" x14ac:dyDescent="0.25">
      <c r="A1593" s="2">
        <v>1592</v>
      </c>
      <c r="B1593" s="7" t="s">
        <v>856</v>
      </c>
      <c r="C1593" s="7" t="s">
        <v>421</v>
      </c>
      <c r="D1593" s="16">
        <v>270189106</v>
      </c>
      <c r="E1593" s="16">
        <f>270+189+106</f>
        <v>565</v>
      </c>
      <c r="F1593" s="8">
        <v>1</v>
      </c>
      <c r="G1593" s="9" t="s">
        <v>1108</v>
      </c>
      <c r="H1593" s="7">
        <v>6</v>
      </c>
      <c r="I1593" s="7">
        <v>6</v>
      </c>
      <c r="J1593" s="9" t="s">
        <v>176</v>
      </c>
      <c r="K1593" s="9" t="s">
        <v>268</v>
      </c>
      <c r="L1593" s="7" t="s">
        <v>52</v>
      </c>
      <c r="M1593" s="7">
        <f t="shared" si="120"/>
        <v>1</v>
      </c>
      <c r="N1593" s="9" t="s">
        <v>177</v>
      </c>
      <c r="O1593" s="7">
        <v>0</v>
      </c>
      <c r="P1593" s="9" t="s">
        <v>63</v>
      </c>
      <c r="Q1593" s="9" t="s">
        <v>38</v>
      </c>
      <c r="R1593" s="9" t="s">
        <v>52</v>
      </c>
      <c r="S1593" s="13" t="s">
        <v>2271</v>
      </c>
      <c r="T1593" s="7">
        <v>23</v>
      </c>
      <c r="U1593" s="7">
        <v>23</v>
      </c>
      <c r="V1593" s="7">
        <v>360</v>
      </c>
      <c r="W1593" s="7" t="s">
        <v>1372</v>
      </c>
      <c r="X1593" s="7">
        <v>20</v>
      </c>
      <c r="Y1593" s="7">
        <v>25</v>
      </c>
      <c r="Z1593" s="7">
        <v>25</v>
      </c>
      <c r="AA1593" s="7">
        <v>220</v>
      </c>
      <c r="AB1593" s="7">
        <f t="shared" si="124"/>
        <v>22.666666666666668</v>
      </c>
      <c r="AC1593" s="7">
        <f t="shared" si="121"/>
        <v>22.666666666666668</v>
      </c>
      <c r="AD1593" s="7"/>
      <c r="AE1593" s="7"/>
      <c r="AF1593" s="7"/>
      <c r="AG1593" s="7"/>
      <c r="AH1593" s="7"/>
      <c r="AI1593" s="7"/>
      <c r="AJ1593" s="7"/>
      <c r="AK1593" s="7"/>
      <c r="AL1593" s="9" t="s">
        <v>38</v>
      </c>
      <c r="AM1593" s="7" t="s">
        <v>215</v>
      </c>
      <c r="AN1593" s="7" t="s">
        <v>2850</v>
      </c>
      <c r="AO1593" s="15" t="s">
        <v>2755</v>
      </c>
    </row>
    <row r="1594" spans="1:41" s="11" customFormat="1" ht="48" x14ac:dyDescent="0.25">
      <c r="A1594" s="2">
        <v>1593</v>
      </c>
      <c r="B1594" s="7" t="s">
        <v>419</v>
      </c>
      <c r="C1594" s="7" t="s">
        <v>237</v>
      </c>
      <c r="D1594" s="7">
        <v>229</v>
      </c>
      <c r="E1594" s="7">
        <v>229</v>
      </c>
      <c r="F1594" s="8">
        <v>1</v>
      </c>
      <c r="G1594" s="8">
        <v>3</v>
      </c>
      <c r="H1594" s="7">
        <v>3</v>
      </c>
      <c r="I1594" s="7">
        <v>3</v>
      </c>
      <c r="J1594" s="9" t="s">
        <v>176</v>
      </c>
      <c r="K1594" s="7">
        <v>2</v>
      </c>
      <c r="L1594" s="7" t="s">
        <v>52</v>
      </c>
      <c r="M1594" s="7">
        <f t="shared" si="120"/>
        <v>1</v>
      </c>
      <c r="N1594" s="9" t="s">
        <v>177</v>
      </c>
      <c r="O1594" s="7">
        <v>0</v>
      </c>
      <c r="P1594" s="9" t="s">
        <v>63</v>
      </c>
      <c r="Q1594" s="7" t="s">
        <v>38</v>
      </c>
      <c r="R1594" s="7" t="s">
        <v>52</v>
      </c>
      <c r="S1594" s="10" t="s">
        <v>2272</v>
      </c>
      <c r="T1594" s="7">
        <v>8</v>
      </c>
      <c r="U1594" s="7">
        <v>8</v>
      </c>
      <c r="V1594" s="7">
        <v>370</v>
      </c>
      <c r="W1594" s="7" t="s">
        <v>1370</v>
      </c>
      <c r="X1594" s="7">
        <v>5</v>
      </c>
      <c r="Y1594" s="7"/>
      <c r="Z1594" s="7"/>
      <c r="AA1594" s="7"/>
      <c r="AB1594" s="7">
        <f t="shared" si="124"/>
        <v>4.333333333333333</v>
      </c>
      <c r="AC1594" s="7">
        <f t="shared" si="121"/>
        <v>4.333333333333333</v>
      </c>
      <c r="AD1594" s="7"/>
      <c r="AE1594" s="7"/>
      <c r="AF1594" s="7"/>
      <c r="AG1594" s="7"/>
      <c r="AH1594" s="7"/>
      <c r="AI1594" s="7"/>
      <c r="AJ1594" s="10" t="s">
        <v>2423</v>
      </c>
      <c r="AK1594" s="7"/>
      <c r="AL1594" s="9"/>
      <c r="AM1594" s="7" t="s">
        <v>215</v>
      </c>
      <c r="AN1594" s="7" t="s">
        <v>2850</v>
      </c>
      <c r="AO1594" s="15" t="s">
        <v>2756</v>
      </c>
    </row>
    <row r="1595" spans="1:41" s="11" customFormat="1" x14ac:dyDescent="0.25">
      <c r="A1595" s="2">
        <v>1594</v>
      </c>
      <c r="B1595" s="7" t="s">
        <v>856</v>
      </c>
      <c r="C1595" s="7" t="s">
        <v>237</v>
      </c>
      <c r="D1595" s="7" t="s">
        <v>1373</v>
      </c>
      <c r="E1595" s="7">
        <f>51+41+11</f>
        <v>103</v>
      </c>
      <c r="F1595" s="8">
        <v>1</v>
      </c>
      <c r="G1595" s="8">
        <v>9</v>
      </c>
      <c r="H1595" s="7" t="s">
        <v>130</v>
      </c>
      <c r="I1595" s="7">
        <v>9</v>
      </c>
      <c r="J1595" s="9" t="s">
        <v>290</v>
      </c>
      <c r="K1595" s="7">
        <v>5</v>
      </c>
      <c r="L1595" s="7" t="s">
        <v>52</v>
      </c>
      <c r="M1595" s="7">
        <f t="shared" si="120"/>
        <v>1</v>
      </c>
      <c r="N1595" s="9" t="s">
        <v>291</v>
      </c>
      <c r="O1595" s="7">
        <v>0</v>
      </c>
      <c r="P1595" s="9" t="s">
        <v>63</v>
      </c>
      <c r="Q1595" s="7" t="s">
        <v>38</v>
      </c>
      <c r="R1595" s="7" t="s">
        <v>52</v>
      </c>
      <c r="S1595" s="10" t="s">
        <v>2273</v>
      </c>
      <c r="T1595" s="7">
        <v>5</v>
      </c>
      <c r="U1595" s="7">
        <v>5</v>
      </c>
      <c r="V1595" s="7">
        <v>200</v>
      </c>
      <c r="W1595" s="7" t="s">
        <v>79</v>
      </c>
      <c r="X1595" s="7">
        <v>5</v>
      </c>
      <c r="Y1595" s="7"/>
      <c r="Z1595" s="7"/>
      <c r="AA1595" s="7"/>
      <c r="AB1595" s="7">
        <f t="shared" si="124"/>
        <v>3.3333333333333335</v>
      </c>
      <c r="AC1595" s="7">
        <f t="shared" si="121"/>
        <v>3.3333333333333335</v>
      </c>
      <c r="AD1595" s="7"/>
      <c r="AE1595" s="7"/>
      <c r="AF1595" s="7"/>
      <c r="AG1595" s="7"/>
      <c r="AH1595" s="7"/>
      <c r="AI1595" s="7"/>
      <c r="AJ1595" s="7"/>
      <c r="AK1595" s="7"/>
      <c r="AL1595" s="9"/>
      <c r="AM1595" s="7" t="s">
        <v>215</v>
      </c>
      <c r="AN1595" s="7" t="s">
        <v>2850</v>
      </c>
      <c r="AO1595" s="15" t="s">
        <v>2757</v>
      </c>
    </row>
    <row r="1596" spans="1:41" s="11" customFormat="1" ht="24" x14ac:dyDescent="0.25">
      <c r="A1596" s="2">
        <v>1595</v>
      </c>
      <c r="B1596" s="7" t="s">
        <v>1374</v>
      </c>
      <c r="C1596" s="7" t="s">
        <v>421</v>
      </c>
      <c r="D1596" s="7" t="s">
        <v>1375</v>
      </c>
      <c r="E1596" s="7">
        <f>182+90+39+24+21+20+10</f>
        <v>386</v>
      </c>
      <c r="F1596" s="8">
        <v>1</v>
      </c>
      <c r="G1596" s="9" t="s">
        <v>1376</v>
      </c>
      <c r="H1596" s="7" t="s">
        <v>110</v>
      </c>
      <c r="I1596" s="7">
        <v>7</v>
      </c>
      <c r="J1596" s="9" t="s">
        <v>176</v>
      </c>
      <c r="K1596" s="9" t="s">
        <v>501</v>
      </c>
      <c r="L1596" s="7" t="s">
        <v>52</v>
      </c>
      <c r="M1596" s="7">
        <f t="shared" si="120"/>
        <v>1</v>
      </c>
      <c r="N1596" s="9" t="s">
        <v>177</v>
      </c>
      <c r="O1596" s="7">
        <v>0</v>
      </c>
      <c r="P1596" s="9" t="s">
        <v>63</v>
      </c>
      <c r="Q1596" s="9" t="s">
        <v>38</v>
      </c>
      <c r="R1596" s="9" t="s">
        <v>52</v>
      </c>
      <c r="S1596" s="13" t="s">
        <v>2274</v>
      </c>
      <c r="T1596" s="9" t="s">
        <v>1377</v>
      </c>
      <c r="U1596" s="7">
        <v>42</v>
      </c>
      <c r="V1596" s="7">
        <v>230</v>
      </c>
      <c r="W1596" s="9" t="s">
        <v>1378</v>
      </c>
      <c r="X1596" s="7">
        <v>10</v>
      </c>
      <c r="Y1596" s="7">
        <v>45</v>
      </c>
      <c r="Z1596" s="7">
        <v>45</v>
      </c>
      <c r="AA1596" s="7">
        <v>135</v>
      </c>
      <c r="AB1596" s="7">
        <f t="shared" si="124"/>
        <v>32.333333333333336</v>
      </c>
      <c r="AC1596" s="7">
        <f t="shared" si="121"/>
        <v>32.333333333333336</v>
      </c>
      <c r="AD1596" s="7"/>
      <c r="AE1596" s="7">
        <v>1</v>
      </c>
      <c r="AF1596" s="7" t="s">
        <v>40</v>
      </c>
      <c r="AG1596" s="7" t="s">
        <v>1379</v>
      </c>
      <c r="AH1596" s="7" t="s">
        <v>38</v>
      </c>
      <c r="AI1596" s="10" t="s">
        <v>2330</v>
      </c>
      <c r="AJ1596" s="7"/>
      <c r="AK1596" s="7"/>
      <c r="AL1596" s="9" t="s">
        <v>38</v>
      </c>
      <c r="AM1596" s="7" t="s">
        <v>1246</v>
      </c>
      <c r="AN1596" s="7" t="s">
        <v>2850</v>
      </c>
      <c r="AO1596" s="15" t="s">
        <v>2758</v>
      </c>
    </row>
    <row r="1597" spans="1:41" s="11" customFormat="1" x14ac:dyDescent="0.25">
      <c r="A1597" s="2">
        <v>1596</v>
      </c>
      <c r="B1597" s="7" t="s">
        <v>722</v>
      </c>
      <c r="C1597" s="7" t="s">
        <v>421</v>
      </c>
      <c r="D1597" s="7">
        <v>523</v>
      </c>
      <c r="E1597" s="7">
        <v>523</v>
      </c>
      <c r="F1597" s="8">
        <v>1</v>
      </c>
      <c r="G1597" s="9"/>
      <c r="H1597" s="7">
        <v>11</v>
      </c>
      <c r="I1597" s="7">
        <v>11</v>
      </c>
      <c r="J1597" s="7" t="s">
        <v>176</v>
      </c>
      <c r="K1597" s="7">
        <v>3</v>
      </c>
      <c r="L1597" s="7" t="s">
        <v>52</v>
      </c>
      <c r="M1597" s="7">
        <f t="shared" si="120"/>
        <v>1</v>
      </c>
      <c r="N1597" s="9" t="s">
        <v>109</v>
      </c>
      <c r="O1597" s="7"/>
      <c r="P1597" s="9"/>
      <c r="Q1597" s="7" t="s">
        <v>38</v>
      </c>
      <c r="R1597" s="7" t="s">
        <v>52</v>
      </c>
      <c r="S1597" s="10" t="s">
        <v>2275</v>
      </c>
      <c r="T1597" s="7">
        <v>95</v>
      </c>
      <c r="U1597" s="7">
        <v>95</v>
      </c>
      <c r="V1597" s="7">
        <v>203</v>
      </c>
      <c r="W1597" s="7" t="s">
        <v>214</v>
      </c>
      <c r="X1597" s="7">
        <v>95</v>
      </c>
      <c r="Y1597" s="7">
        <v>90</v>
      </c>
      <c r="Z1597" s="7">
        <v>90</v>
      </c>
      <c r="AA1597" s="7">
        <v>100</v>
      </c>
      <c r="AB1597" s="7">
        <f t="shared" si="124"/>
        <v>93.333333333333329</v>
      </c>
      <c r="AC1597" s="7">
        <f t="shared" si="121"/>
        <v>93.333333333333329</v>
      </c>
      <c r="AD1597" s="7"/>
      <c r="AE1597" s="7"/>
      <c r="AF1597" s="7"/>
      <c r="AG1597" s="7"/>
      <c r="AH1597" s="7"/>
      <c r="AI1597" s="7"/>
      <c r="AJ1597" s="7"/>
      <c r="AK1597" s="7"/>
      <c r="AL1597" s="9" t="s">
        <v>38</v>
      </c>
      <c r="AM1597" s="7" t="s">
        <v>1380</v>
      </c>
      <c r="AN1597" s="7" t="s">
        <v>2847</v>
      </c>
      <c r="AO1597" s="15" t="s">
        <v>2759</v>
      </c>
    </row>
    <row r="1598" spans="1:41" s="11" customFormat="1" ht="36" x14ac:dyDescent="0.25">
      <c r="A1598" s="2">
        <v>1597</v>
      </c>
      <c r="B1598" s="7" t="s">
        <v>1381</v>
      </c>
      <c r="C1598" s="7" t="s">
        <v>421</v>
      </c>
      <c r="D1598" s="7" t="s">
        <v>1382</v>
      </c>
      <c r="E1598" s="7">
        <f>115+70+51+29+25+14</f>
        <v>304</v>
      </c>
      <c r="F1598" s="8">
        <v>1</v>
      </c>
      <c r="G1598" s="9" t="s">
        <v>1383</v>
      </c>
      <c r="H1598" s="7">
        <v>13</v>
      </c>
      <c r="I1598" s="7">
        <v>13</v>
      </c>
      <c r="J1598" s="9" t="s">
        <v>176</v>
      </c>
      <c r="K1598" s="9" t="s">
        <v>268</v>
      </c>
      <c r="L1598" s="7" t="s">
        <v>52</v>
      </c>
      <c r="M1598" s="7">
        <f t="shared" si="120"/>
        <v>1</v>
      </c>
      <c r="N1598" s="9" t="s">
        <v>177</v>
      </c>
      <c r="O1598" s="7">
        <v>0</v>
      </c>
      <c r="P1598" s="9" t="s">
        <v>63</v>
      </c>
      <c r="Q1598" s="9" t="s">
        <v>38</v>
      </c>
      <c r="R1598" s="9" t="s">
        <v>52</v>
      </c>
      <c r="S1598" s="13" t="s">
        <v>2276</v>
      </c>
      <c r="T1598" s="7">
        <v>37</v>
      </c>
      <c r="U1598" s="7">
        <v>37</v>
      </c>
      <c r="V1598" s="7">
        <v>200</v>
      </c>
      <c r="W1598" s="7" t="s">
        <v>266</v>
      </c>
      <c r="X1598" s="7">
        <v>35</v>
      </c>
      <c r="Y1598" s="7">
        <v>35</v>
      </c>
      <c r="Z1598" s="7">
        <v>35</v>
      </c>
      <c r="AA1598" s="7">
        <v>135</v>
      </c>
      <c r="AB1598" s="7">
        <f t="shared" si="124"/>
        <v>35.666666666666664</v>
      </c>
      <c r="AC1598" s="7">
        <f t="shared" si="121"/>
        <v>35.666666666666664</v>
      </c>
      <c r="AD1598" s="7"/>
      <c r="AE1598" s="7">
        <v>1</v>
      </c>
      <c r="AF1598" s="7" t="s">
        <v>40</v>
      </c>
      <c r="AG1598" s="7" t="s">
        <v>534</v>
      </c>
      <c r="AH1598" s="7"/>
      <c r="AI1598" s="10" t="s">
        <v>2331</v>
      </c>
      <c r="AJ1598" s="7"/>
      <c r="AK1598" s="7"/>
      <c r="AL1598" s="9" t="s">
        <v>38</v>
      </c>
      <c r="AM1598" s="7" t="s">
        <v>1246</v>
      </c>
      <c r="AN1598" s="7" t="s">
        <v>2850</v>
      </c>
      <c r="AO1598" s="15" t="s">
        <v>2760</v>
      </c>
    </row>
    <row r="1599" spans="1:41" s="11" customFormat="1" ht="36" x14ac:dyDescent="0.25">
      <c r="A1599" s="2">
        <v>1598</v>
      </c>
      <c r="B1599" s="7" t="s">
        <v>471</v>
      </c>
      <c r="C1599" s="7" t="s">
        <v>78</v>
      </c>
      <c r="D1599" s="7">
        <v>66</v>
      </c>
      <c r="E1599" s="7">
        <v>66</v>
      </c>
      <c r="F1599" s="8">
        <v>1</v>
      </c>
      <c r="G1599" s="8">
        <v>1</v>
      </c>
      <c r="H1599" s="7">
        <v>1</v>
      </c>
      <c r="I1599" s="7">
        <v>1</v>
      </c>
      <c r="J1599" s="9" t="s">
        <v>176</v>
      </c>
      <c r="K1599" s="7">
        <v>3</v>
      </c>
      <c r="L1599" s="7" t="s">
        <v>52</v>
      </c>
      <c r="M1599" s="7">
        <f t="shared" si="120"/>
        <v>1</v>
      </c>
      <c r="N1599" s="9" t="s">
        <v>177</v>
      </c>
      <c r="O1599" s="7">
        <v>1</v>
      </c>
      <c r="P1599" s="9" t="s">
        <v>63</v>
      </c>
      <c r="Q1599" s="7" t="s">
        <v>38</v>
      </c>
      <c r="R1599" s="7" t="s">
        <v>52</v>
      </c>
      <c r="S1599" s="10" t="s">
        <v>2277</v>
      </c>
      <c r="T1599" s="7">
        <v>8</v>
      </c>
      <c r="U1599" s="7">
        <v>8</v>
      </c>
      <c r="V1599" s="7">
        <v>240</v>
      </c>
      <c r="W1599" s="7" t="s">
        <v>1384</v>
      </c>
      <c r="X1599" s="7">
        <v>3</v>
      </c>
      <c r="Y1599" s="7"/>
      <c r="Z1599" s="7"/>
      <c r="AA1599" s="7"/>
      <c r="AB1599" s="7">
        <f t="shared" si="124"/>
        <v>3.6666666666666665</v>
      </c>
      <c r="AC1599" s="7">
        <f t="shared" si="121"/>
        <v>3.6666666666666665</v>
      </c>
      <c r="AD1599" s="7"/>
      <c r="AE1599" s="7">
        <v>1</v>
      </c>
      <c r="AF1599" s="7" t="s">
        <v>1385</v>
      </c>
      <c r="AG1599" s="7" t="s">
        <v>1386</v>
      </c>
      <c r="AH1599" s="7"/>
      <c r="AI1599" s="7"/>
      <c r="AJ1599" s="7"/>
      <c r="AK1599" s="7"/>
      <c r="AL1599" s="9"/>
      <c r="AM1599" s="7" t="s">
        <v>1246</v>
      </c>
      <c r="AN1599" s="7" t="s">
        <v>2850</v>
      </c>
      <c r="AO1599" s="15" t="s">
        <v>2761</v>
      </c>
    </row>
    <row r="1600" spans="1:41" s="11" customFormat="1" ht="24" x14ac:dyDescent="0.25">
      <c r="A1600" s="2">
        <v>1599</v>
      </c>
      <c r="B1600" s="7" t="s">
        <v>962</v>
      </c>
      <c r="C1600" s="7" t="s">
        <v>421</v>
      </c>
      <c r="D1600" s="7">
        <v>123</v>
      </c>
      <c r="E1600" s="7">
        <v>123</v>
      </c>
      <c r="F1600" s="8">
        <v>1</v>
      </c>
      <c r="G1600" s="8">
        <v>1</v>
      </c>
      <c r="H1600" s="7">
        <v>1</v>
      </c>
      <c r="I1600" s="7">
        <v>1</v>
      </c>
      <c r="J1600" s="9" t="s">
        <v>176</v>
      </c>
      <c r="K1600" s="7">
        <v>11</v>
      </c>
      <c r="L1600" s="7" t="s">
        <v>52</v>
      </c>
      <c r="M1600" s="7">
        <f t="shared" si="120"/>
        <v>1</v>
      </c>
      <c r="N1600" s="9" t="s">
        <v>177</v>
      </c>
      <c r="O1600" s="7">
        <v>0</v>
      </c>
      <c r="P1600" s="9" t="s">
        <v>63</v>
      </c>
      <c r="Q1600" s="9" t="s">
        <v>38</v>
      </c>
      <c r="R1600" s="9" t="s">
        <v>52</v>
      </c>
      <c r="S1600" s="13" t="s">
        <v>2278</v>
      </c>
      <c r="T1600" s="7">
        <v>7</v>
      </c>
      <c r="U1600" s="7">
        <v>7</v>
      </c>
      <c r="V1600" s="7">
        <v>210</v>
      </c>
      <c r="W1600" s="7" t="s">
        <v>79</v>
      </c>
      <c r="X1600" s="7">
        <v>15</v>
      </c>
      <c r="Y1600" s="7">
        <v>30</v>
      </c>
      <c r="Z1600" s="7">
        <v>30</v>
      </c>
      <c r="AA1600" s="7">
        <v>130</v>
      </c>
      <c r="AB1600" s="7">
        <f t="shared" si="124"/>
        <v>17.333333333333332</v>
      </c>
      <c r="AC1600" s="7">
        <f t="shared" si="121"/>
        <v>17.333333333333332</v>
      </c>
      <c r="AD1600" s="7"/>
      <c r="AE1600" s="7"/>
      <c r="AF1600" s="7"/>
      <c r="AG1600" s="7"/>
      <c r="AH1600" s="7"/>
      <c r="AI1600" s="7"/>
      <c r="AJ1600" s="7"/>
      <c r="AK1600" s="7"/>
      <c r="AL1600" s="9"/>
      <c r="AM1600" s="7" t="s">
        <v>1380</v>
      </c>
      <c r="AN1600" s="7" t="s">
        <v>2852</v>
      </c>
      <c r="AO1600" s="15" t="s">
        <v>2762</v>
      </c>
    </row>
    <row r="1601" spans="1:41" s="11" customFormat="1" ht="24" x14ac:dyDescent="0.25">
      <c r="A1601" s="2">
        <v>1600</v>
      </c>
      <c r="B1601" s="7" t="s">
        <v>49</v>
      </c>
      <c r="C1601" s="7" t="s">
        <v>269</v>
      </c>
      <c r="D1601" s="7" t="s">
        <v>1387</v>
      </c>
      <c r="E1601" s="7">
        <f>59+13</f>
        <v>72</v>
      </c>
      <c r="F1601" s="8">
        <v>1</v>
      </c>
      <c r="G1601" s="8">
        <v>2</v>
      </c>
      <c r="H1601" s="7">
        <v>2</v>
      </c>
      <c r="I1601" s="7">
        <v>2</v>
      </c>
      <c r="J1601" s="9" t="s">
        <v>812</v>
      </c>
      <c r="K1601" s="7">
        <v>1</v>
      </c>
      <c r="L1601" s="7" t="s">
        <v>52</v>
      </c>
      <c r="M1601" s="7">
        <f t="shared" si="120"/>
        <v>1</v>
      </c>
      <c r="N1601" s="9" t="s">
        <v>291</v>
      </c>
      <c r="O1601" s="7">
        <v>0</v>
      </c>
      <c r="P1601" s="9" t="s">
        <v>63</v>
      </c>
      <c r="Q1601" s="7" t="s">
        <v>38</v>
      </c>
      <c r="R1601" s="7" t="s">
        <v>52</v>
      </c>
      <c r="S1601" s="10" t="s">
        <v>2279</v>
      </c>
      <c r="T1601" s="7">
        <v>6</v>
      </c>
      <c r="U1601" s="7">
        <v>6</v>
      </c>
      <c r="V1601" s="7">
        <v>360</v>
      </c>
      <c r="W1601" s="7" t="s">
        <v>331</v>
      </c>
      <c r="X1601" s="7">
        <v>3</v>
      </c>
      <c r="Y1601" s="7"/>
      <c r="Z1601" s="7"/>
      <c r="AA1601" s="7"/>
      <c r="AB1601" s="7">
        <f t="shared" si="124"/>
        <v>3</v>
      </c>
      <c r="AC1601" s="7">
        <f t="shared" si="121"/>
        <v>3</v>
      </c>
      <c r="AD1601" s="7"/>
      <c r="AE1601" s="7"/>
      <c r="AF1601" s="7"/>
      <c r="AG1601" s="7"/>
      <c r="AH1601" s="7"/>
      <c r="AI1601" s="7"/>
      <c r="AJ1601" s="7"/>
      <c r="AK1601" s="10" t="s">
        <v>2499</v>
      </c>
      <c r="AL1601" s="9" t="s">
        <v>38</v>
      </c>
      <c r="AM1601" s="7" t="s">
        <v>1380</v>
      </c>
      <c r="AN1601" s="7" t="s">
        <v>2852</v>
      </c>
      <c r="AO1601" s="15" t="s">
        <v>2763</v>
      </c>
    </row>
    <row r="1602" spans="1:41" s="11" customFormat="1" ht="24" x14ac:dyDescent="0.25">
      <c r="A1602" s="2">
        <v>1601</v>
      </c>
      <c r="B1602" s="7" t="s">
        <v>1347</v>
      </c>
      <c r="C1602" s="7" t="s">
        <v>78</v>
      </c>
      <c r="D1602" s="7" t="s">
        <v>1388</v>
      </c>
      <c r="E1602" s="7">
        <f>71+55+16</f>
        <v>142</v>
      </c>
      <c r="F1602" s="8">
        <v>1</v>
      </c>
      <c r="G1602" s="8">
        <v>3</v>
      </c>
      <c r="H1602" s="7" t="s">
        <v>293</v>
      </c>
      <c r="I1602" s="7">
        <v>3</v>
      </c>
      <c r="J1602" s="9" t="s">
        <v>812</v>
      </c>
      <c r="K1602" s="7">
        <v>1</v>
      </c>
      <c r="L1602" s="7" t="s">
        <v>52</v>
      </c>
      <c r="M1602" s="7">
        <f t="shared" ref="M1602:M1665" si="125">IF(L1602="n",F1602,0)</f>
        <v>1</v>
      </c>
      <c r="N1602" s="9" t="s">
        <v>291</v>
      </c>
      <c r="O1602" s="7">
        <v>0</v>
      </c>
      <c r="P1602" s="9" t="s">
        <v>63</v>
      </c>
      <c r="Q1602" s="9" t="s">
        <v>38</v>
      </c>
      <c r="R1602" s="9" t="s">
        <v>52</v>
      </c>
      <c r="S1602" s="13" t="s">
        <v>2280</v>
      </c>
      <c r="T1602" s="9" t="s">
        <v>1389</v>
      </c>
      <c r="U1602" s="7">
        <v>18</v>
      </c>
      <c r="V1602" s="7">
        <v>380</v>
      </c>
      <c r="W1602" s="9" t="s">
        <v>331</v>
      </c>
      <c r="X1602" s="7"/>
      <c r="Y1602" s="7"/>
      <c r="Z1602" s="7"/>
      <c r="AA1602" s="7"/>
      <c r="AB1602" s="7">
        <f t="shared" si="124"/>
        <v>6</v>
      </c>
      <c r="AC1602" s="7">
        <f t="shared" ref="AC1602:AC1665" si="126">IF(L1602="n",AB1602,0)</f>
        <v>6</v>
      </c>
      <c r="AD1602" s="7"/>
      <c r="AE1602" s="7"/>
      <c r="AF1602" s="7"/>
      <c r="AG1602" s="7"/>
      <c r="AH1602" s="7"/>
      <c r="AI1602" s="7"/>
      <c r="AJ1602" s="7"/>
      <c r="AK1602" s="10" t="s">
        <v>2500</v>
      </c>
      <c r="AL1602" s="9" t="s">
        <v>38</v>
      </c>
      <c r="AM1602" s="7" t="s">
        <v>1390</v>
      </c>
      <c r="AN1602" s="7" t="s">
        <v>2850</v>
      </c>
      <c r="AO1602" s="15" t="s">
        <v>2764</v>
      </c>
    </row>
    <row r="1603" spans="1:41" s="11" customFormat="1" ht="24" x14ac:dyDescent="0.25">
      <c r="A1603" s="2">
        <v>1602</v>
      </c>
      <c r="B1603" s="7" t="s">
        <v>655</v>
      </c>
      <c r="C1603" s="7" t="s">
        <v>485</v>
      </c>
      <c r="D1603" s="7">
        <v>114</v>
      </c>
      <c r="E1603" s="7">
        <v>114</v>
      </c>
      <c r="F1603" s="8">
        <v>1</v>
      </c>
      <c r="G1603" s="8">
        <v>1</v>
      </c>
      <c r="H1603" s="7">
        <v>1</v>
      </c>
      <c r="I1603" s="7">
        <v>1</v>
      </c>
      <c r="J1603" s="9" t="s">
        <v>176</v>
      </c>
      <c r="K1603" s="7">
        <v>3</v>
      </c>
      <c r="L1603" s="7" t="s">
        <v>52</v>
      </c>
      <c r="M1603" s="7">
        <f t="shared" si="125"/>
        <v>1</v>
      </c>
      <c r="N1603" s="9" t="s">
        <v>109</v>
      </c>
      <c r="O1603" s="7">
        <v>0</v>
      </c>
      <c r="P1603" s="9" t="s">
        <v>63</v>
      </c>
      <c r="Q1603" s="7"/>
      <c r="R1603" s="7" t="s">
        <v>38</v>
      </c>
      <c r="S1603" s="10" t="s">
        <v>2281</v>
      </c>
      <c r="T1603" s="7">
        <v>100</v>
      </c>
      <c r="U1603" s="7">
        <v>100</v>
      </c>
      <c r="V1603" s="7">
        <v>35</v>
      </c>
      <c r="W1603" s="7" t="s">
        <v>1391</v>
      </c>
      <c r="X1603" s="7"/>
      <c r="Y1603" s="7"/>
      <c r="Z1603" s="7"/>
      <c r="AA1603" s="7"/>
      <c r="AB1603" s="7">
        <f t="shared" si="124"/>
        <v>33.333333333333336</v>
      </c>
      <c r="AC1603" s="7">
        <f t="shared" si="126"/>
        <v>33.333333333333336</v>
      </c>
      <c r="AD1603" s="7" t="s">
        <v>55</v>
      </c>
      <c r="AE1603" s="7"/>
      <c r="AF1603" s="7" t="s">
        <v>1392</v>
      </c>
      <c r="AG1603" s="7" t="s">
        <v>1393</v>
      </c>
      <c r="AH1603" s="7"/>
      <c r="AI1603" s="10" t="s">
        <v>2332</v>
      </c>
      <c r="AJ1603" s="10" t="s">
        <v>2424</v>
      </c>
      <c r="AK1603" s="7"/>
      <c r="AL1603" s="9"/>
      <c r="AM1603" s="7" t="s">
        <v>1394</v>
      </c>
      <c r="AN1603" s="7" t="s">
        <v>2845</v>
      </c>
      <c r="AO1603" s="15" t="s">
        <v>2765</v>
      </c>
    </row>
    <row r="1604" spans="1:41" s="11" customFormat="1" x14ac:dyDescent="0.25">
      <c r="A1604" s="2">
        <v>1603</v>
      </c>
      <c r="B1604" s="7" t="s">
        <v>1111</v>
      </c>
      <c r="C1604" s="7" t="s">
        <v>421</v>
      </c>
      <c r="D1604" s="7">
        <v>28</v>
      </c>
      <c r="E1604" s="7">
        <v>28</v>
      </c>
      <c r="F1604" s="8">
        <v>1</v>
      </c>
      <c r="G1604" s="8">
        <v>3</v>
      </c>
      <c r="H1604" s="7">
        <v>3</v>
      </c>
      <c r="I1604" s="7">
        <v>3</v>
      </c>
      <c r="J1604" s="9" t="s">
        <v>176</v>
      </c>
      <c r="K1604" s="7">
        <v>2</v>
      </c>
      <c r="L1604" s="7" t="s">
        <v>52</v>
      </c>
      <c r="M1604" s="7">
        <f t="shared" si="125"/>
        <v>1</v>
      </c>
      <c r="N1604" s="9" t="s">
        <v>177</v>
      </c>
      <c r="O1604" s="7">
        <v>0</v>
      </c>
      <c r="P1604" s="9" t="s">
        <v>63</v>
      </c>
      <c r="Q1604" s="9" t="s">
        <v>38</v>
      </c>
      <c r="R1604" s="9" t="s">
        <v>38</v>
      </c>
      <c r="S1604" s="13" t="s">
        <v>2282</v>
      </c>
      <c r="T1604" s="7">
        <v>5</v>
      </c>
      <c r="U1604" s="7">
        <v>5</v>
      </c>
      <c r="V1604" s="7">
        <v>45</v>
      </c>
      <c r="W1604" s="7" t="s">
        <v>79</v>
      </c>
      <c r="X1604" s="7">
        <v>10</v>
      </c>
      <c r="Y1604" s="7">
        <v>100</v>
      </c>
      <c r="Z1604" s="7">
        <v>100</v>
      </c>
      <c r="AA1604" s="7">
        <v>36</v>
      </c>
      <c r="AB1604" s="7">
        <f t="shared" si="124"/>
        <v>38.333333333333336</v>
      </c>
      <c r="AC1604" s="7">
        <f t="shared" si="126"/>
        <v>38.333333333333336</v>
      </c>
      <c r="AD1604" s="7"/>
      <c r="AE1604" s="7"/>
      <c r="AF1604" s="7"/>
      <c r="AG1604" s="7"/>
      <c r="AH1604" s="7"/>
      <c r="AI1604" s="7"/>
      <c r="AJ1604" s="10" t="s">
        <v>2421</v>
      </c>
      <c r="AK1604" s="7"/>
      <c r="AL1604" s="9" t="s">
        <v>38</v>
      </c>
      <c r="AM1604" s="7" t="s">
        <v>582</v>
      </c>
      <c r="AN1604" s="7" t="s">
        <v>2851</v>
      </c>
      <c r="AO1604" s="12"/>
    </row>
    <row r="1605" spans="1:41" s="11" customFormat="1" x14ac:dyDescent="0.25">
      <c r="A1605" s="2">
        <v>1604</v>
      </c>
      <c r="B1605" s="7" t="s">
        <v>722</v>
      </c>
      <c r="C1605" s="7" t="s">
        <v>421</v>
      </c>
      <c r="D1605" s="7">
        <v>75</v>
      </c>
      <c r="E1605" s="7">
        <v>75</v>
      </c>
      <c r="F1605" s="8">
        <v>1</v>
      </c>
      <c r="G1605" s="8">
        <v>5</v>
      </c>
      <c r="H1605" s="7">
        <v>5</v>
      </c>
      <c r="I1605" s="7">
        <v>5</v>
      </c>
      <c r="J1605" s="7" t="s">
        <v>176</v>
      </c>
      <c r="K1605" s="7"/>
      <c r="L1605" s="7" t="s">
        <v>52</v>
      </c>
      <c r="M1605" s="7">
        <f t="shared" si="125"/>
        <v>1</v>
      </c>
      <c r="N1605" s="9" t="s">
        <v>109</v>
      </c>
      <c r="O1605" s="7"/>
      <c r="P1605" s="9" t="s">
        <v>63</v>
      </c>
      <c r="Q1605" s="7" t="s">
        <v>38</v>
      </c>
      <c r="R1605" s="7" t="s">
        <v>38</v>
      </c>
      <c r="S1605" s="10" t="s">
        <v>1931</v>
      </c>
      <c r="T1605" s="7">
        <v>45</v>
      </c>
      <c r="U1605" s="7">
        <v>45</v>
      </c>
      <c r="V1605" s="7">
        <v>56</v>
      </c>
      <c r="W1605" s="7" t="s">
        <v>79</v>
      </c>
      <c r="X1605" s="7">
        <v>80</v>
      </c>
      <c r="Y1605" s="7">
        <v>100</v>
      </c>
      <c r="Z1605" s="7">
        <v>100</v>
      </c>
      <c r="AA1605" s="7">
        <v>43</v>
      </c>
      <c r="AB1605" s="7">
        <f t="shared" si="124"/>
        <v>75</v>
      </c>
      <c r="AC1605" s="7">
        <f t="shared" si="126"/>
        <v>75</v>
      </c>
      <c r="AD1605" s="7"/>
      <c r="AE1605" s="7"/>
      <c r="AF1605" s="7"/>
      <c r="AG1605" s="7"/>
      <c r="AH1605" s="7"/>
      <c r="AI1605" s="7"/>
      <c r="AJ1605" s="7"/>
      <c r="AK1605" s="7" t="s">
        <v>1395</v>
      </c>
      <c r="AL1605" s="9"/>
      <c r="AM1605" s="7" t="s">
        <v>582</v>
      </c>
      <c r="AN1605" s="7" t="s">
        <v>2851</v>
      </c>
      <c r="AO1605" s="15" t="s">
        <v>2766</v>
      </c>
    </row>
    <row r="1606" spans="1:41" s="11" customFormat="1" x14ac:dyDescent="0.25">
      <c r="A1606" s="2">
        <v>1605</v>
      </c>
      <c r="B1606" s="7" t="s">
        <v>722</v>
      </c>
      <c r="C1606" s="7" t="s">
        <v>421</v>
      </c>
      <c r="D1606" s="7" t="s">
        <v>1396</v>
      </c>
      <c r="E1606" s="7"/>
      <c r="F1606" s="8">
        <v>1</v>
      </c>
      <c r="G1606" s="8">
        <v>1</v>
      </c>
      <c r="H1606" s="7">
        <v>1</v>
      </c>
      <c r="I1606" s="7">
        <v>1</v>
      </c>
      <c r="J1606" s="9" t="s">
        <v>176</v>
      </c>
      <c r="K1606" s="7"/>
      <c r="L1606" s="7" t="s">
        <v>52</v>
      </c>
      <c r="M1606" s="7">
        <f t="shared" si="125"/>
        <v>1</v>
      </c>
      <c r="N1606" s="9" t="s">
        <v>177</v>
      </c>
      <c r="O1606" s="7">
        <v>0</v>
      </c>
      <c r="P1606" s="9" t="s">
        <v>63</v>
      </c>
      <c r="Q1606" s="7" t="s">
        <v>38</v>
      </c>
      <c r="R1606" s="7" t="s">
        <v>38</v>
      </c>
      <c r="S1606" s="10" t="s">
        <v>2283</v>
      </c>
      <c r="T1606" s="7">
        <v>30</v>
      </c>
      <c r="U1606" s="7">
        <v>30</v>
      </c>
      <c r="V1606" s="7">
        <v>72</v>
      </c>
      <c r="W1606" s="7" t="s">
        <v>79</v>
      </c>
      <c r="X1606" s="7">
        <v>25</v>
      </c>
      <c r="Y1606" s="7">
        <v>100</v>
      </c>
      <c r="Z1606" s="7">
        <v>100</v>
      </c>
      <c r="AA1606" s="7">
        <v>50</v>
      </c>
      <c r="AB1606" s="7">
        <f t="shared" si="124"/>
        <v>51.666666666666664</v>
      </c>
      <c r="AC1606" s="7">
        <f t="shared" si="126"/>
        <v>51.666666666666664</v>
      </c>
      <c r="AD1606" s="7"/>
      <c r="AE1606" s="7"/>
      <c r="AF1606" s="7"/>
      <c r="AG1606" s="7"/>
      <c r="AH1606" s="7"/>
      <c r="AI1606" s="7"/>
      <c r="AJ1606" s="10" t="s">
        <v>294</v>
      </c>
      <c r="AK1606" s="7"/>
      <c r="AL1606" s="9" t="s">
        <v>38</v>
      </c>
      <c r="AM1606" s="7" t="s">
        <v>582</v>
      </c>
      <c r="AN1606" s="7" t="s">
        <v>2851</v>
      </c>
      <c r="AO1606" s="15" t="s">
        <v>2767</v>
      </c>
    </row>
    <row r="1607" spans="1:41" s="11" customFormat="1" ht="24" x14ac:dyDescent="0.25">
      <c r="A1607" s="2">
        <v>1606</v>
      </c>
      <c r="B1607" s="7" t="s">
        <v>54</v>
      </c>
      <c r="C1607" s="7" t="s">
        <v>421</v>
      </c>
      <c r="D1607" s="7"/>
      <c r="E1607" s="7"/>
      <c r="F1607" s="8">
        <v>1</v>
      </c>
      <c r="G1607" s="9"/>
      <c r="H1607" s="7"/>
      <c r="I1607" s="7"/>
      <c r="J1607" s="7" t="s">
        <v>775</v>
      </c>
      <c r="K1607" s="7"/>
      <c r="L1607" s="7" t="s">
        <v>52</v>
      </c>
      <c r="M1607" s="7">
        <f t="shared" si="125"/>
        <v>1</v>
      </c>
      <c r="N1607" s="9" t="s">
        <v>46</v>
      </c>
      <c r="O1607" s="7">
        <v>0</v>
      </c>
      <c r="P1607" s="9" t="s">
        <v>63</v>
      </c>
      <c r="Q1607" s="7" t="s">
        <v>52</v>
      </c>
      <c r="R1607" s="7" t="s">
        <v>283</v>
      </c>
      <c r="S1607" s="10" t="s">
        <v>2284</v>
      </c>
      <c r="T1607" s="7">
        <v>95</v>
      </c>
      <c r="U1607" s="7">
        <v>95</v>
      </c>
      <c r="V1607" s="7"/>
      <c r="W1607" s="7" t="s">
        <v>79</v>
      </c>
      <c r="X1607" s="7">
        <v>85</v>
      </c>
      <c r="Y1607" s="7">
        <v>100</v>
      </c>
      <c r="Z1607" s="7">
        <v>100</v>
      </c>
      <c r="AA1607" s="7"/>
      <c r="AB1607" s="7">
        <f t="shared" si="124"/>
        <v>93.333333333333329</v>
      </c>
      <c r="AC1607" s="7">
        <f t="shared" si="126"/>
        <v>93.333333333333329</v>
      </c>
      <c r="AD1607" s="7"/>
      <c r="AE1607" s="7"/>
      <c r="AF1607" s="7"/>
      <c r="AG1607" s="7"/>
      <c r="AH1607" s="7"/>
      <c r="AI1607" s="7"/>
      <c r="AJ1607" s="10" t="s">
        <v>2425</v>
      </c>
      <c r="AK1607" s="10" t="s">
        <v>2501</v>
      </c>
      <c r="AL1607" s="9"/>
      <c r="AM1607" s="7" t="s">
        <v>582</v>
      </c>
      <c r="AN1607" s="7" t="s">
        <v>2851</v>
      </c>
      <c r="AO1607" s="10" t="s">
        <v>2768</v>
      </c>
    </row>
    <row r="1608" spans="1:41" s="11" customFormat="1" ht="24" x14ac:dyDescent="0.25">
      <c r="A1608" s="2">
        <v>1607</v>
      </c>
      <c r="B1608" s="7" t="s">
        <v>644</v>
      </c>
      <c r="C1608" s="7" t="s">
        <v>421</v>
      </c>
      <c r="D1608" s="7" t="s">
        <v>1397</v>
      </c>
      <c r="E1608" s="7">
        <v>165</v>
      </c>
      <c r="F1608" s="8">
        <v>1</v>
      </c>
      <c r="G1608" s="8">
        <v>2</v>
      </c>
      <c r="H1608" s="7" t="s">
        <v>87</v>
      </c>
      <c r="I1608" s="7">
        <v>2</v>
      </c>
      <c r="J1608" s="9" t="s">
        <v>176</v>
      </c>
      <c r="K1608" s="7">
        <v>2</v>
      </c>
      <c r="L1608" s="7" t="s">
        <v>52</v>
      </c>
      <c r="M1608" s="7">
        <f t="shared" si="125"/>
        <v>1</v>
      </c>
      <c r="N1608" s="9" t="s">
        <v>177</v>
      </c>
      <c r="O1608" s="7">
        <v>0</v>
      </c>
      <c r="P1608" s="9" t="s">
        <v>63</v>
      </c>
      <c r="Q1608" s="7" t="s">
        <v>38</v>
      </c>
      <c r="R1608" s="7" t="s">
        <v>38</v>
      </c>
      <c r="S1608" s="10" t="s">
        <v>2285</v>
      </c>
      <c r="T1608" s="7">
        <v>10</v>
      </c>
      <c r="U1608" s="7">
        <v>10</v>
      </c>
      <c r="V1608" s="7">
        <v>90</v>
      </c>
      <c r="W1608" s="7" t="s">
        <v>79</v>
      </c>
      <c r="X1608" s="7">
        <v>30</v>
      </c>
      <c r="Y1608" s="7">
        <v>100</v>
      </c>
      <c r="Z1608" s="7">
        <v>100</v>
      </c>
      <c r="AA1608" s="7">
        <v>56</v>
      </c>
      <c r="AB1608" s="7">
        <f t="shared" si="124"/>
        <v>46.666666666666664</v>
      </c>
      <c r="AC1608" s="7">
        <f t="shared" si="126"/>
        <v>46.666666666666664</v>
      </c>
      <c r="AD1608" s="7"/>
      <c r="AE1608" s="7"/>
      <c r="AF1608" s="7"/>
      <c r="AG1608" s="7"/>
      <c r="AH1608" s="7"/>
      <c r="AI1608" s="10" t="s">
        <v>2333</v>
      </c>
      <c r="AJ1608" s="7"/>
      <c r="AK1608" s="10" t="s">
        <v>2502</v>
      </c>
      <c r="AL1608" s="9" t="s">
        <v>38</v>
      </c>
      <c r="AM1608" s="7" t="s">
        <v>582</v>
      </c>
      <c r="AN1608" s="7" t="s">
        <v>2851</v>
      </c>
      <c r="AO1608" s="15" t="s">
        <v>2769</v>
      </c>
    </row>
    <row r="1609" spans="1:41" s="11" customFormat="1" ht="24" x14ac:dyDescent="0.25">
      <c r="A1609" s="2">
        <v>1608</v>
      </c>
      <c r="B1609" s="7" t="s">
        <v>722</v>
      </c>
      <c r="C1609" s="7" t="s">
        <v>50</v>
      </c>
      <c r="D1609" s="7" t="s">
        <v>1398</v>
      </c>
      <c r="E1609" s="7">
        <v>79</v>
      </c>
      <c r="F1609" s="8">
        <v>1</v>
      </c>
      <c r="G1609" s="8">
        <v>3</v>
      </c>
      <c r="H1609" s="7" t="s">
        <v>293</v>
      </c>
      <c r="I1609" s="7">
        <v>3</v>
      </c>
      <c r="J1609" s="7" t="s">
        <v>176</v>
      </c>
      <c r="K1609" s="7">
        <v>3</v>
      </c>
      <c r="L1609" s="7" t="s">
        <v>52</v>
      </c>
      <c r="M1609" s="7">
        <f t="shared" si="125"/>
        <v>1</v>
      </c>
      <c r="N1609" s="9" t="s">
        <v>177</v>
      </c>
      <c r="O1609" s="7">
        <v>0</v>
      </c>
      <c r="P1609" s="9" t="s">
        <v>63</v>
      </c>
      <c r="Q1609" s="7" t="s">
        <v>38</v>
      </c>
      <c r="R1609" s="7" t="s">
        <v>38</v>
      </c>
      <c r="S1609" s="10" t="s">
        <v>2286</v>
      </c>
      <c r="T1609" s="7"/>
      <c r="U1609" s="7"/>
      <c r="V1609" s="7"/>
      <c r="W1609" s="7"/>
      <c r="X1609" s="7"/>
      <c r="Y1609" s="7" t="s">
        <v>1399</v>
      </c>
      <c r="Z1609" s="7">
        <v>35</v>
      </c>
      <c r="AA1609" s="7" t="s">
        <v>1400</v>
      </c>
      <c r="AB1609" s="7">
        <f t="shared" si="124"/>
        <v>11.666666666666666</v>
      </c>
      <c r="AC1609" s="7">
        <f t="shared" si="126"/>
        <v>11.666666666666666</v>
      </c>
      <c r="AD1609" s="7"/>
      <c r="AE1609" s="7"/>
      <c r="AF1609" s="7"/>
      <c r="AG1609" s="7"/>
      <c r="AH1609" s="7"/>
      <c r="AI1609" s="7"/>
      <c r="AJ1609" s="10" t="s">
        <v>2426</v>
      </c>
      <c r="AK1609" s="10" t="s">
        <v>2503</v>
      </c>
      <c r="AL1609" s="9"/>
      <c r="AM1609" s="7" t="s">
        <v>71</v>
      </c>
      <c r="AN1609" s="7" t="s">
        <v>71</v>
      </c>
      <c r="AO1609" s="15" t="s">
        <v>2770</v>
      </c>
    </row>
    <row r="1610" spans="1:41" s="11" customFormat="1" ht="24" x14ac:dyDescent="0.25">
      <c r="A1610" s="2">
        <v>1609</v>
      </c>
      <c r="B1610" s="7" t="s">
        <v>722</v>
      </c>
      <c r="C1610" s="7" t="s">
        <v>1401</v>
      </c>
      <c r="D1610" s="7">
        <v>3000</v>
      </c>
      <c r="E1610" s="7">
        <v>3000</v>
      </c>
      <c r="F1610" s="8">
        <v>1</v>
      </c>
      <c r="G1610" s="9" t="s">
        <v>1402</v>
      </c>
      <c r="H1610" s="7">
        <v>45</v>
      </c>
      <c r="I1610" s="7">
        <v>45</v>
      </c>
      <c r="J1610" s="7" t="s">
        <v>860</v>
      </c>
      <c r="K1610" s="18">
        <v>40970</v>
      </c>
      <c r="L1610" s="7" t="s">
        <v>52</v>
      </c>
      <c r="M1610" s="7">
        <f t="shared" si="125"/>
        <v>1</v>
      </c>
      <c r="N1610" s="9" t="s">
        <v>34</v>
      </c>
      <c r="O1610" s="7">
        <v>0</v>
      </c>
      <c r="P1610" s="9" t="s">
        <v>63</v>
      </c>
      <c r="Q1610" s="7" t="s">
        <v>38</v>
      </c>
      <c r="R1610" s="7" t="s">
        <v>38</v>
      </c>
      <c r="S1610" s="10" t="s">
        <v>2287</v>
      </c>
      <c r="T1610" s="7">
        <v>80</v>
      </c>
      <c r="U1610" s="7">
        <v>80</v>
      </c>
      <c r="V1610" s="7">
        <v>140</v>
      </c>
      <c r="W1610" s="7" t="s">
        <v>1403</v>
      </c>
      <c r="X1610" s="7">
        <v>95</v>
      </c>
      <c r="Y1610" s="7">
        <v>100</v>
      </c>
      <c r="Z1610" s="7">
        <v>100</v>
      </c>
      <c r="AA1610" s="7">
        <v>135</v>
      </c>
      <c r="AB1610" s="7">
        <f t="shared" si="124"/>
        <v>91.666666666666671</v>
      </c>
      <c r="AC1610" s="7">
        <f t="shared" si="126"/>
        <v>91.666666666666671</v>
      </c>
      <c r="AD1610" s="7">
        <v>1</v>
      </c>
      <c r="AE1610" s="7"/>
      <c r="AF1610" s="7" t="s">
        <v>155</v>
      </c>
      <c r="AG1610" s="7" t="s">
        <v>490</v>
      </c>
      <c r="AH1610" s="7"/>
      <c r="AI1610" s="7"/>
      <c r="AJ1610" s="10" t="s">
        <v>2427</v>
      </c>
      <c r="AK1610" s="7"/>
      <c r="AL1610" s="9" t="s">
        <v>38</v>
      </c>
      <c r="AM1610" s="7" t="s">
        <v>647</v>
      </c>
      <c r="AN1610" s="7" t="s">
        <v>2847</v>
      </c>
      <c r="AO1610" s="15" t="s">
        <v>2771</v>
      </c>
    </row>
    <row r="1611" spans="1:41" s="11" customFormat="1" ht="36" x14ac:dyDescent="0.25">
      <c r="A1611" s="2">
        <v>1610</v>
      </c>
      <c r="B1611" s="7" t="s">
        <v>1111</v>
      </c>
      <c r="C1611" s="7" t="s">
        <v>1401</v>
      </c>
      <c r="D1611" s="7">
        <v>2518</v>
      </c>
      <c r="E1611" s="7">
        <v>2518</v>
      </c>
      <c r="F1611" s="8">
        <v>1</v>
      </c>
      <c r="G1611" s="9" t="s">
        <v>1402</v>
      </c>
      <c r="H1611" s="7">
        <v>37</v>
      </c>
      <c r="I1611" s="7">
        <v>37</v>
      </c>
      <c r="J1611" s="7" t="s">
        <v>219</v>
      </c>
      <c r="K1611" s="7">
        <v>3</v>
      </c>
      <c r="L1611" s="7" t="s">
        <v>52</v>
      </c>
      <c r="M1611" s="7">
        <f t="shared" si="125"/>
        <v>1</v>
      </c>
      <c r="N1611" s="9" t="s">
        <v>34</v>
      </c>
      <c r="O1611" s="7">
        <v>3</v>
      </c>
      <c r="P1611" s="9" t="s">
        <v>34</v>
      </c>
      <c r="Q1611" s="7" t="s">
        <v>38</v>
      </c>
      <c r="R1611" s="7" t="s">
        <v>38</v>
      </c>
      <c r="S1611" s="10" t="s">
        <v>2288</v>
      </c>
      <c r="T1611" s="7">
        <v>100</v>
      </c>
      <c r="U1611" s="7">
        <v>100</v>
      </c>
      <c r="V1611" s="7">
        <v>142</v>
      </c>
      <c r="W1611" s="7" t="s">
        <v>1404</v>
      </c>
      <c r="X1611" s="7">
        <v>95</v>
      </c>
      <c r="Y1611" s="7">
        <v>95</v>
      </c>
      <c r="Z1611" s="7">
        <v>100</v>
      </c>
      <c r="AA1611" s="7">
        <v>160</v>
      </c>
      <c r="AB1611" s="7">
        <f t="shared" si="124"/>
        <v>98.333333333333329</v>
      </c>
      <c r="AC1611" s="7">
        <f t="shared" si="126"/>
        <v>98.333333333333329</v>
      </c>
      <c r="AD1611" s="7">
        <v>2</v>
      </c>
      <c r="AE1611" s="7"/>
      <c r="AF1611" s="7" t="s">
        <v>155</v>
      </c>
      <c r="AG1611" s="7" t="s">
        <v>490</v>
      </c>
      <c r="AH1611" s="7"/>
      <c r="AI1611" s="7"/>
      <c r="AJ1611" s="7"/>
      <c r="AK1611" s="7"/>
      <c r="AL1611" s="9" t="s">
        <v>38</v>
      </c>
      <c r="AM1611" s="7" t="s">
        <v>1226</v>
      </c>
      <c r="AN1611" s="7" t="s">
        <v>662</v>
      </c>
      <c r="AO1611" s="15" t="s">
        <v>2772</v>
      </c>
    </row>
    <row r="1612" spans="1:41" s="11" customFormat="1" x14ac:dyDescent="0.25">
      <c r="A1612" s="2">
        <v>1611</v>
      </c>
      <c r="B1612" s="7"/>
      <c r="C1612" s="7"/>
      <c r="D1612" s="7"/>
      <c r="E1612" s="7"/>
      <c r="F1612" s="9"/>
      <c r="G1612" s="9"/>
      <c r="H1612" s="7"/>
      <c r="I1612" s="7"/>
      <c r="J1612" s="7"/>
      <c r="K1612" s="7"/>
      <c r="L1612" s="7"/>
      <c r="M1612" s="7">
        <f t="shared" si="125"/>
        <v>0</v>
      </c>
      <c r="N1612" s="9"/>
      <c r="O1612" s="7"/>
      <c r="P1612" s="9"/>
      <c r="Q1612" s="7"/>
      <c r="R1612" s="7"/>
      <c r="S1612" s="7"/>
      <c r="T1612" s="7"/>
      <c r="U1612" s="7"/>
      <c r="V1612" s="7"/>
      <c r="W1612" s="7"/>
      <c r="X1612" s="7"/>
      <c r="Y1612" s="7"/>
      <c r="Z1612" s="7"/>
      <c r="AA1612" s="7"/>
      <c r="AB1612" s="7">
        <v>0.33333333333333298</v>
      </c>
      <c r="AC1612" s="7">
        <f t="shared" si="126"/>
        <v>0</v>
      </c>
      <c r="AD1612" s="7"/>
      <c r="AE1612" s="7"/>
      <c r="AF1612" s="7"/>
      <c r="AG1612" s="7"/>
      <c r="AH1612" s="7"/>
      <c r="AI1612" s="7"/>
      <c r="AJ1612" s="7"/>
      <c r="AK1612" s="7"/>
      <c r="AL1612" s="9"/>
      <c r="AM1612" s="7"/>
      <c r="AN1612" s="7"/>
      <c r="AO1612" s="15" t="s">
        <v>2773</v>
      </c>
    </row>
    <row r="1613" spans="1:41" s="11" customFormat="1" ht="36" x14ac:dyDescent="0.25">
      <c r="A1613" s="2">
        <v>1612</v>
      </c>
      <c r="B1613" s="7" t="s">
        <v>722</v>
      </c>
      <c r="C1613" s="7" t="s">
        <v>421</v>
      </c>
      <c r="D1613" s="7" t="s">
        <v>1396</v>
      </c>
      <c r="E1613" s="7"/>
      <c r="F1613" s="8">
        <v>1</v>
      </c>
      <c r="G1613" s="8">
        <v>52</v>
      </c>
      <c r="H1613" s="7">
        <v>52</v>
      </c>
      <c r="I1613" s="7">
        <v>52</v>
      </c>
      <c r="J1613" s="7" t="s">
        <v>219</v>
      </c>
      <c r="K1613" s="7">
        <v>1</v>
      </c>
      <c r="L1613" s="7" t="s">
        <v>52</v>
      </c>
      <c r="M1613" s="7">
        <f t="shared" si="125"/>
        <v>1</v>
      </c>
      <c r="N1613" s="9" t="s">
        <v>36</v>
      </c>
      <c r="O1613" s="7">
        <v>0</v>
      </c>
      <c r="P1613" s="9" t="s">
        <v>36</v>
      </c>
      <c r="Q1613" s="7" t="s">
        <v>38</v>
      </c>
      <c r="R1613" s="7" t="s">
        <v>38</v>
      </c>
      <c r="S1613" s="10" t="s">
        <v>2289</v>
      </c>
      <c r="T1613" s="7">
        <v>100</v>
      </c>
      <c r="U1613" s="7">
        <v>100</v>
      </c>
      <c r="V1613" s="7">
        <v>160</v>
      </c>
      <c r="W1613" s="7" t="s">
        <v>1405</v>
      </c>
      <c r="X1613" s="7">
        <v>40</v>
      </c>
      <c r="Y1613" s="7">
        <v>95</v>
      </c>
      <c r="Z1613" s="7">
        <v>95</v>
      </c>
      <c r="AA1613" s="7">
        <v>185</v>
      </c>
      <c r="AB1613" s="7">
        <f t="shared" ref="AB1613:AB1631" si="127">(U1613+X1613+Z1613)/3</f>
        <v>78.333333333333329</v>
      </c>
      <c r="AC1613" s="7">
        <f t="shared" si="126"/>
        <v>78.333333333333329</v>
      </c>
      <c r="AD1613" s="7">
        <v>3</v>
      </c>
      <c r="AE1613" s="7"/>
      <c r="AF1613" s="7" t="s">
        <v>155</v>
      </c>
      <c r="AG1613" s="7" t="s">
        <v>1406</v>
      </c>
      <c r="AH1613" s="7"/>
      <c r="AI1613" s="7"/>
      <c r="AJ1613" s="7"/>
      <c r="AK1613" s="10" t="s">
        <v>2504</v>
      </c>
      <c r="AL1613" s="9" t="s">
        <v>38</v>
      </c>
      <c r="AM1613" s="7" t="s">
        <v>1407</v>
      </c>
      <c r="AN1613" s="7" t="s">
        <v>662</v>
      </c>
      <c r="AO1613" s="15" t="s">
        <v>2774</v>
      </c>
    </row>
    <row r="1614" spans="1:41" s="11" customFormat="1" ht="24" x14ac:dyDescent="0.25">
      <c r="A1614" s="2">
        <v>1613</v>
      </c>
      <c r="B1614" s="7" t="s">
        <v>1408</v>
      </c>
      <c r="C1614" s="7" t="s">
        <v>421</v>
      </c>
      <c r="D1614" s="7" t="s">
        <v>1409</v>
      </c>
      <c r="E1614" s="7">
        <f>668+286+244+121+100+61+86+17+13+4</f>
        <v>1600</v>
      </c>
      <c r="F1614" s="8">
        <v>1</v>
      </c>
      <c r="G1614" s="9" t="s">
        <v>1410</v>
      </c>
      <c r="H1614" s="7" t="s">
        <v>1411</v>
      </c>
      <c r="I1614" s="7">
        <v>44</v>
      </c>
      <c r="J1614" s="7" t="s">
        <v>219</v>
      </c>
      <c r="K1614" s="7">
        <v>1</v>
      </c>
      <c r="L1614" s="7" t="s">
        <v>52</v>
      </c>
      <c r="M1614" s="7">
        <f t="shared" si="125"/>
        <v>1</v>
      </c>
      <c r="N1614" s="9" t="s">
        <v>34</v>
      </c>
      <c r="O1614" s="7">
        <v>2</v>
      </c>
      <c r="P1614" s="9" t="s">
        <v>33</v>
      </c>
      <c r="Q1614" s="7" t="s">
        <v>38</v>
      </c>
      <c r="R1614" s="7" t="s">
        <v>38</v>
      </c>
      <c r="S1614" s="10" t="s">
        <v>2290</v>
      </c>
      <c r="T1614" s="7">
        <v>75</v>
      </c>
      <c r="U1614" s="7">
        <v>75</v>
      </c>
      <c r="V1614" s="7">
        <v>185</v>
      </c>
      <c r="W1614" s="7" t="s">
        <v>239</v>
      </c>
      <c r="X1614" s="7">
        <v>50</v>
      </c>
      <c r="Y1614" s="7" t="s">
        <v>1412</v>
      </c>
      <c r="Z1614" s="7">
        <v>47</v>
      </c>
      <c r="AA1614" s="7">
        <v>170</v>
      </c>
      <c r="AB1614" s="7">
        <f t="shared" si="127"/>
        <v>57.333333333333336</v>
      </c>
      <c r="AC1614" s="7">
        <f t="shared" si="126"/>
        <v>57.333333333333336</v>
      </c>
      <c r="AD1614" s="7">
        <v>2</v>
      </c>
      <c r="AE1614" s="7">
        <v>1</v>
      </c>
      <c r="AF1614" s="7" t="s">
        <v>155</v>
      </c>
      <c r="AG1614" s="7" t="s">
        <v>1413</v>
      </c>
      <c r="AH1614" s="7"/>
      <c r="AI1614" s="7"/>
      <c r="AJ1614" s="10" t="s">
        <v>2428</v>
      </c>
      <c r="AK1614" s="7"/>
      <c r="AL1614" s="9" t="s">
        <v>38</v>
      </c>
      <c r="AM1614" s="7" t="s">
        <v>1407</v>
      </c>
      <c r="AN1614" s="7" t="s">
        <v>662</v>
      </c>
      <c r="AO1614" s="15" t="s">
        <v>2775</v>
      </c>
    </row>
    <row r="1615" spans="1:41" s="11" customFormat="1" ht="24" x14ac:dyDescent="0.25">
      <c r="A1615" s="2">
        <v>1614</v>
      </c>
      <c r="B1615" s="7" t="s">
        <v>1414</v>
      </c>
      <c r="C1615" s="7" t="s">
        <v>1415</v>
      </c>
      <c r="D1615" s="7" t="s">
        <v>1416</v>
      </c>
      <c r="E1615" s="7">
        <f>330+72+71+61+59+49+36+33+31+26+22+1+60+38+31+14+26+21+9+16+9+2</f>
        <v>1017</v>
      </c>
      <c r="F1615" s="8">
        <v>1</v>
      </c>
      <c r="G1615" s="9" t="s">
        <v>1417</v>
      </c>
      <c r="H1615" s="7" t="s">
        <v>1418</v>
      </c>
      <c r="I1615" s="7">
        <f>14+9+1+1+14</f>
        <v>39</v>
      </c>
      <c r="J1615" s="7" t="s">
        <v>219</v>
      </c>
      <c r="K1615" s="7">
        <v>2</v>
      </c>
      <c r="L1615" s="7" t="s">
        <v>52</v>
      </c>
      <c r="M1615" s="7">
        <f t="shared" si="125"/>
        <v>1</v>
      </c>
      <c r="N1615" s="9" t="s">
        <v>34</v>
      </c>
      <c r="O1615" s="7">
        <v>0</v>
      </c>
      <c r="P1615" s="9" t="s">
        <v>63</v>
      </c>
      <c r="Q1615" s="7" t="s">
        <v>38</v>
      </c>
      <c r="R1615" s="7" t="s">
        <v>38</v>
      </c>
      <c r="S1615" s="10" t="s">
        <v>2291</v>
      </c>
      <c r="T1615" s="7" t="s">
        <v>1419</v>
      </c>
      <c r="U1615" s="7">
        <v>75</v>
      </c>
      <c r="V1615" s="7">
        <v>105</v>
      </c>
      <c r="W1615" s="7" t="s">
        <v>1420</v>
      </c>
      <c r="X1615" s="7">
        <v>20</v>
      </c>
      <c r="Y1615" s="7">
        <v>85</v>
      </c>
      <c r="Z1615" s="7">
        <v>85</v>
      </c>
      <c r="AA1615" s="7">
        <v>124</v>
      </c>
      <c r="AB1615" s="7">
        <f t="shared" si="127"/>
        <v>60</v>
      </c>
      <c r="AC1615" s="7">
        <f t="shared" si="126"/>
        <v>60</v>
      </c>
      <c r="AD1615" s="7"/>
      <c r="AE1615" s="7"/>
      <c r="AF1615" s="7"/>
      <c r="AG1615" s="7"/>
      <c r="AH1615" s="7"/>
      <c r="AI1615" s="10" t="s">
        <v>2334</v>
      </c>
      <c r="AJ1615" s="10" t="s">
        <v>2429</v>
      </c>
      <c r="AK1615" s="10" t="s">
        <v>2505</v>
      </c>
      <c r="AL1615" s="9"/>
      <c r="AM1615" s="7" t="s">
        <v>1421</v>
      </c>
      <c r="AN1615" s="7" t="s">
        <v>2847</v>
      </c>
      <c r="AO1615" s="15" t="s">
        <v>2776</v>
      </c>
    </row>
    <row r="1616" spans="1:41" s="11" customFormat="1" ht="36" x14ac:dyDescent="0.25">
      <c r="A1616" s="2">
        <v>1615</v>
      </c>
      <c r="B1616" s="7" t="s">
        <v>1422</v>
      </c>
      <c r="C1616" s="7" t="s">
        <v>1401</v>
      </c>
      <c r="D1616" s="7" t="s">
        <v>1423</v>
      </c>
      <c r="E1616" s="7">
        <f>466+241+194+142+131+115+59+48+37+31+46+13</f>
        <v>1523</v>
      </c>
      <c r="F1616" s="8">
        <v>1</v>
      </c>
      <c r="G1616" s="9" t="s">
        <v>1424</v>
      </c>
      <c r="H1616" s="7">
        <v>27</v>
      </c>
      <c r="I1616" s="7">
        <v>27</v>
      </c>
      <c r="J1616" s="7" t="s">
        <v>176</v>
      </c>
      <c r="K1616" s="7">
        <v>3</v>
      </c>
      <c r="L1616" s="7" t="s">
        <v>52</v>
      </c>
      <c r="M1616" s="7">
        <f t="shared" si="125"/>
        <v>1</v>
      </c>
      <c r="N1616" s="9" t="s">
        <v>177</v>
      </c>
      <c r="O1616" s="7">
        <v>0</v>
      </c>
      <c r="P1616" s="9" t="s">
        <v>63</v>
      </c>
      <c r="Q1616" s="7" t="s">
        <v>38</v>
      </c>
      <c r="R1616" s="7" t="s">
        <v>52</v>
      </c>
      <c r="S1616" s="10" t="s">
        <v>2292</v>
      </c>
      <c r="T1616" s="7">
        <v>90</v>
      </c>
      <c r="U1616" s="7">
        <v>90</v>
      </c>
      <c r="V1616" s="7">
        <v>310</v>
      </c>
      <c r="W1616" s="7" t="s">
        <v>1425</v>
      </c>
      <c r="X1616" s="7">
        <v>50</v>
      </c>
      <c r="Y1616" s="7">
        <v>40</v>
      </c>
      <c r="Z1616" s="7">
        <v>40</v>
      </c>
      <c r="AA1616" s="7">
        <v>190</v>
      </c>
      <c r="AB1616" s="7">
        <f t="shared" si="127"/>
        <v>60</v>
      </c>
      <c r="AC1616" s="7">
        <f t="shared" si="126"/>
        <v>60</v>
      </c>
      <c r="AD1616" s="7"/>
      <c r="AE1616" s="7"/>
      <c r="AF1616" s="7"/>
      <c r="AG1616" s="7"/>
      <c r="AH1616" s="7"/>
      <c r="AI1616" s="10" t="s">
        <v>2335</v>
      </c>
      <c r="AJ1616" s="7"/>
      <c r="AK1616" s="7"/>
      <c r="AL1616" s="9" t="s">
        <v>38</v>
      </c>
      <c r="AM1616" s="7" t="s">
        <v>1426</v>
      </c>
      <c r="AN1616" s="7" t="s">
        <v>2850</v>
      </c>
      <c r="AO1616" s="15" t="s">
        <v>2777</v>
      </c>
    </row>
    <row r="1617" spans="1:41" s="11" customFormat="1" ht="24" x14ac:dyDescent="0.25">
      <c r="A1617" s="2">
        <v>1616</v>
      </c>
      <c r="B1617" s="7" t="s">
        <v>579</v>
      </c>
      <c r="C1617" s="7" t="s">
        <v>1427</v>
      </c>
      <c r="D1617" s="7" t="s">
        <v>1428</v>
      </c>
      <c r="E1617" s="7">
        <f>76+26+24+22+15+6+12+6</f>
        <v>187</v>
      </c>
      <c r="F1617" s="8">
        <v>1</v>
      </c>
      <c r="G1617" s="9" t="s">
        <v>1429</v>
      </c>
      <c r="H1617" s="7" t="s">
        <v>1430</v>
      </c>
      <c r="I1617" s="7">
        <v>19</v>
      </c>
      <c r="J1617" s="7" t="s">
        <v>1431</v>
      </c>
      <c r="K1617" s="7" t="s">
        <v>51</v>
      </c>
      <c r="L1617" s="7" t="s">
        <v>52</v>
      </c>
      <c r="M1617" s="7">
        <f t="shared" si="125"/>
        <v>1</v>
      </c>
      <c r="N1617" s="9"/>
      <c r="O1617" s="7"/>
      <c r="P1617" s="9"/>
      <c r="Q1617" s="7" t="s">
        <v>52</v>
      </c>
      <c r="R1617" s="7" t="s">
        <v>52</v>
      </c>
      <c r="S1617" s="7"/>
      <c r="T1617" s="7">
        <v>80</v>
      </c>
      <c r="U1617" s="7">
        <v>80</v>
      </c>
      <c r="V1617" s="7">
        <v>25</v>
      </c>
      <c r="W1617" s="7" t="s">
        <v>239</v>
      </c>
      <c r="X1617" s="7">
        <v>7</v>
      </c>
      <c r="Y1617" s="7"/>
      <c r="Z1617" s="7"/>
      <c r="AA1617" s="7"/>
      <c r="AB1617" s="7">
        <f t="shared" si="127"/>
        <v>29</v>
      </c>
      <c r="AC1617" s="7">
        <f t="shared" si="126"/>
        <v>29</v>
      </c>
      <c r="AD1617" s="7"/>
      <c r="AE1617" s="7"/>
      <c r="AF1617" s="7"/>
      <c r="AG1617" s="7"/>
      <c r="AH1617" s="7"/>
      <c r="AI1617" s="7"/>
      <c r="AJ1617" s="7"/>
      <c r="AK1617" s="7"/>
      <c r="AL1617" s="9" t="s">
        <v>38</v>
      </c>
      <c r="AM1617" s="7" t="s">
        <v>1432</v>
      </c>
      <c r="AN1617" s="7" t="s">
        <v>2847</v>
      </c>
      <c r="AO1617" s="15" t="s">
        <v>2778</v>
      </c>
    </row>
    <row r="1618" spans="1:41" s="11" customFormat="1" ht="24" x14ac:dyDescent="0.25">
      <c r="A1618" s="2">
        <v>1617</v>
      </c>
      <c r="B1618" s="7" t="s">
        <v>1111</v>
      </c>
      <c r="C1618" s="7" t="s">
        <v>1427</v>
      </c>
      <c r="D1618" s="7">
        <v>171</v>
      </c>
      <c r="E1618" s="7">
        <v>171</v>
      </c>
      <c r="F1618" s="8">
        <v>1</v>
      </c>
      <c r="G1618" s="8">
        <v>40</v>
      </c>
      <c r="H1618" s="7" t="s">
        <v>1433</v>
      </c>
      <c r="I1618" s="7">
        <v>40</v>
      </c>
      <c r="J1618" s="7" t="s">
        <v>1431</v>
      </c>
      <c r="K1618" s="7" t="s">
        <v>47</v>
      </c>
      <c r="L1618" s="7" t="s">
        <v>38</v>
      </c>
      <c r="M1618" s="7">
        <f t="shared" si="125"/>
        <v>0</v>
      </c>
      <c r="N1618" s="9"/>
      <c r="O1618" s="7"/>
      <c r="P1618" s="9"/>
      <c r="Q1618" s="7" t="s">
        <v>52</v>
      </c>
      <c r="R1618" s="7" t="s">
        <v>52</v>
      </c>
      <c r="S1618" s="7"/>
      <c r="T1618" s="7"/>
      <c r="U1618" s="7"/>
      <c r="V1618" s="7"/>
      <c r="W1618" s="7"/>
      <c r="X1618" s="7">
        <v>10</v>
      </c>
      <c r="Y1618" s="7"/>
      <c r="Z1618" s="7"/>
      <c r="AA1618" s="7"/>
      <c r="AB1618" s="7">
        <f t="shared" si="127"/>
        <v>3.3333333333333335</v>
      </c>
      <c r="AC1618" s="7">
        <f t="shared" si="126"/>
        <v>0</v>
      </c>
      <c r="AD1618" s="7"/>
      <c r="AE1618" s="7"/>
      <c r="AF1618" s="7"/>
      <c r="AG1618" s="7"/>
      <c r="AH1618" s="7"/>
      <c r="AI1618" s="7"/>
      <c r="AJ1618" s="7"/>
      <c r="AK1618" s="7"/>
      <c r="AL1618" s="9" t="s">
        <v>38</v>
      </c>
      <c r="AM1618" s="7" t="s">
        <v>1432</v>
      </c>
      <c r="AN1618" s="7" t="s">
        <v>2847</v>
      </c>
      <c r="AO1618" s="15" t="s">
        <v>2779</v>
      </c>
    </row>
    <row r="1619" spans="1:41" s="11" customFormat="1" ht="24" x14ac:dyDescent="0.25">
      <c r="A1619" s="2">
        <v>1618</v>
      </c>
      <c r="B1619" s="7" t="s">
        <v>730</v>
      </c>
      <c r="C1619" s="7" t="s">
        <v>1427</v>
      </c>
      <c r="D1619" s="7" t="s">
        <v>1434</v>
      </c>
      <c r="E1619" s="7">
        <f>87+4+9+6+1</f>
        <v>107</v>
      </c>
      <c r="F1619" s="8">
        <v>1</v>
      </c>
      <c r="G1619" s="8">
        <v>24</v>
      </c>
      <c r="H1619" s="7" t="s">
        <v>1435</v>
      </c>
      <c r="I1619" s="7">
        <v>24</v>
      </c>
      <c r="J1619" s="7" t="s">
        <v>1431</v>
      </c>
      <c r="K1619" s="7" t="s">
        <v>51</v>
      </c>
      <c r="L1619" s="7" t="s">
        <v>52</v>
      </c>
      <c r="M1619" s="7">
        <f t="shared" si="125"/>
        <v>1</v>
      </c>
      <c r="N1619" s="9"/>
      <c r="O1619" s="7"/>
      <c r="P1619" s="9"/>
      <c r="Q1619" s="7" t="s">
        <v>52</v>
      </c>
      <c r="R1619" s="7" t="s">
        <v>52</v>
      </c>
      <c r="S1619" s="7"/>
      <c r="T1619" s="7"/>
      <c r="U1619" s="7"/>
      <c r="V1619" s="7"/>
      <c r="W1619" s="7"/>
      <c r="X1619" s="7">
        <v>20</v>
      </c>
      <c r="Y1619" s="7"/>
      <c r="Z1619" s="7"/>
      <c r="AA1619" s="7"/>
      <c r="AB1619" s="7">
        <f t="shared" si="127"/>
        <v>6.666666666666667</v>
      </c>
      <c r="AC1619" s="7">
        <f t="shared" si="126"/>
        <v>6.666666666666667</v>
      </c>
      <c r="AD1619" s="7"/>
      <c r="AE1619" s="7"/>
      <c r="AF1619" s="7"/>
      <c r="AG1619" s="7"/>
      <c r="AH1619" s="7"/>
      <c r="AI1619" s="7"/>
      <c r="AJ1619" s="7"/>
      <c r="AK1619" s="7"/>
      <c r="AL1619" s="9" t="s">
        <v>38</v>
      </c>
      <c r="AM1619" s="7" t="s">
        <v>1432</v>
      </c>
      <c r="AN1619" s="7" t="s">
        <v>2847</v>
      </c>
      <c r="AO1619" s="15" t="s">
        <v>2780</v>
      </c>
    </row>
    <row r="1620" spans="1:41" s="11" customFormat="1" ht="24" x14ac:dyDescent="0.25">
      <c r="A1620" s="2">
        <v>1619</v>
      </c>
      <c r="B1620" s="7" t="s">
        <v>693</v>
      </c>
      <c r="C1620" s="7" t="s">
        <v>89</v>
      </c>
      <c r="D1620" s="7">
        <v>464</v>
      </c>
      <c r="E1620" s="7">
        <v>464</v>
      </c>
      <c r="F1620" s="8">
        <v>1</v>
      </c>
      <c r="G1620" s="8">
        <v>78</v>
      </c>
      <c r="H1620" s="7" t="s">
        <v>1436</v>
      </c>
      <c r="I1620" s="7">
        <v>78</v>
      </c>
      <c r="J1620" s="7" t="s">
        <v>1431</v>
      </c>
      <c r="K1620" s="7" t="s">
        <v>47</v>
      </c>
      <c r="L1620" s="7" t="s">
        <v>52</v>
      </c>
      <c r="M1620" s="7">
        <f t="shared" si="125"/>
        <v>1</v>
      </c>
      <c r="N1620" s="9"/>
      <c r="O1620" s="7"/>
      <c r="P1620" s="9"/>
      <c r="Q1620" s="7" t="s">
        <v>52</v>
      </c>
      <c r="R1620" s="7" t="s">
        <v>52</v>
      </c>
      <c r="S1620" s="7"/>
      <c r="T1620" s="7"/>
      <c r="U1620" s="7"/>
      <c r="V1620" s="7"/>
      <c r="W1620" s="7"/>
      <c r="X1620" s="7">
        <v>15</v>
      </c>
      <c r="Y1620" s="7"/>
      <c r="Z1620" s="7"/>
      <c r="AA1620" s="7"/>
      <c r="AB1620" s="7">
        <f t="shared" si="127"/>
        <v>5</v>
      </c>
      <c r="AC1620" s="7">
        <f t="shared" si="126"/>
        <v>5</v>
      </c>
      <c r="AD1620" s="7"/>
      <c r="AE1620" s="7"/>
      <c r="AF1620" s="7"/>
      <c r="AG1620" s="7"/>
      <c r="AH1620" s="7"/>
      <c r="AI1620" s="7"/>
      <c r="AJ1620" s="7"/>
      <c r="AK1620" s="7"/>
      <c r="AL1620" s="9"/>
      <c r="AM1620" s="7" t="s">
        <v>1432</v>
      </c>
      <c r="AN1620" s="7" t="s">
        <v>2847</v>
      </c>
      <c r="AO1620" s="12" t="s">
        <v>2840</v>
      </c>
    </row>
    <row r="1621" spans="1:41" s="11" customFormat="1" ht="36" x14ac:dyDescent="0.25">
      <c r="A1621" s="2">
        <v>1620</v>
      </c>
      <c r="B1621" s="7" t="s">
        <v>693</v>
      </c>
      <c r="C1621" s="7" t="s">
        <v>89</v>
      </c>
      <c r="D1621" s="7">
        <f>189+464-8</f>
        <v>645</v>
      </c>
      <c r="E1621" s="7">
        <f>189+464-8</f>
        <v>645</v>
      </c>
      <c r="F1621" s="8">
        <v>2</v>
      </c>
      <c r="G1621" s="9">
        <f>12+9+8+5+4+6+14+169</f>
        <v>227</v>
      </c>
      <c r="H1621" s="7" t="s">
        <v>1437</v>
      </c>
      <c r="I1621" s="7">
        <f>12+9+8+5+4+6+14+169</f>
        <v>227</v>
      </c>
      <c r="J1621" s="7" t="s">
        <v>1431</v>
      </c>
      <c r="K1621" s="7" t="s">
        <v>1438</v>
      </c>
      <c r="L1621" s="7" t="s">
        <v>38</v>
      </c>
      <c r="M1621" s="7">
        <f t="shared" si="125"/>
        <v>0</v>
      </c>
      <c r="N1621" s="9"/>
      <c r="O1621" s="7"/>
      <c r="P1621" s="9"/>
      <c r="Q1621" s="7" t="s">
        <v>52</v>
      </c>
      <c r="R1621" s="7" t="s">
        <v>52</v>
      </c>
      <c r="S1621" s="7"/>
      <c r="T1621" s="7"/>
      <c r="U1621" s="7"/>
      <c r="V1621" s="7"/>
      <c r="W1621" s="7"/>
      <c r="X1621" s="7">
        <v>10</v>
      </c>
      <c r="Y1621" s="7"/>
      <c r="Z1621" s="7"/>
      <c r="AA1621" s="7"/>
      <c r="AB1621" s="7">
        <f t="shared" si="127"/>
        <v>3.3333333333333335</v>
      </c>
      <c r="AC1621" s="7">
        <f t="shared" si="126"/>
        <v>0</v>
      </c>
      <c r="AD1621" s="7"/>
      <c r="AE1621" s="7"/>
      <c r="AF1621" s="7"/>
      <c r="AG1621" s="7"/>
      <c r="AH1621" s="7"/>
      <c r="AI1621" s="7"/>
      <c r="AJ1621" s="7"/>
      <c r="AK1621" s="7"/>
      <c r="AL1621" s="9"/>
      <c r="AM1621" s="7" t="s">
        <v>1432</v>
      </c>
      <c r="AN1621" s="7" t="s">
        <v>2847</v>
      </c>
      <c r="AO1621" s="15" t="s">
        <v>2781</v>
      </c>
    </row>
    <row r="1622" spans="1:41" s="11" customFormat="1" x14ac:dyDescent="0.25">
      <c r="A1622" s="2">
        <v>1621</v>
      </c>
      <c r="B1622" s="7" t="s">
        <v>579</v>
      </c>
      <c r="C1622" s="7" t="s">
        <v>89</v>
      </c>
      <c r="D1622" s="7" t="s">
        <v>159</v>
      </c>
      <c r="E1622" s="7">
        <v>6</v>
      </c>
      <c r="F1622" s="8">
        <v>1</v>
      </c>
      <c r="G1622" s="8">
        <v>2</v>
      </c>
      <c r="H1622" s="7" t="s">
        <v>87</v>
      </c>
      <c r="I1622" s="7">
        <v>2</v>
      </c>
      <c r="J1622" s="7" t="s">
        <v>1431</v>
      </c>
      <c r="K1622" s="7" t="s">
        <v>1439</v>
      </c>
      <c r="L1622" s="7" t="s">
        <v>38</v>
      </c>
      <c r="M1622" s="7">
        <f t="shared" si="125"/>
        <v>0</v>
      </c>
      <c r="N1622" s="9"/>
      <c r="O1622" s="7"/>
      <c r="P1622" s="9"/>
      <c r="Q1622" s="7" t="s">
        <v>52</v>
      </c>
      <c r="R1622" s="7" t="s">
        <v>52</v>
      </c>
      <c r="S1622" s="7"/>
      <c r="T1622" s="7"/>
      <c r="U1622" s="7"/>
      <c r="V1622" s="7"/>
      <c r="W1622" s="7"/>
      <c r="X1622" s="7">
        <v>3</v>
      </c>
      <c r="Y1622" s="7"/>
      <c r="Z1622" s="7"/>
      <c r="AA1622" s="7"/>
      <c r="AB1622" s="7">
        <f t="shared" si="127"/>
        <v>1</v>
      </c>
      <c r="AC1622" s="7">
        <f t="shared" si="126"/>
        <v>0</v>
      </c>
      <c r="AD1622" s="7"/>
      <c r="AE1622" s="7"/>
      <c r="AF1622" s="7"/>
      <c r="AG1622" s="7"/>
      <c r="AH1622" s="7"/>
      <c r="AI1622" s="7"/>
      <c r="AJ1622" s="7"/>
      <c r="AK1622" s="7"/>
      <c r="AL1622" s="9"/>
      <c r="AM1622" s="7" t="s">
        <v>1432</v>
      </c>
      <c r="AN1622" s="7" t="s">
        <v>2847</v>
      </c>
      <c r="AO1622" s="12"/>
    </row>
    <row r="1623" spans="1:41" s="11" customFormat="1" x14ac:dyDescent="0.25">
      <c r="A1623" s="2">
        <v>1622</v>
      </c>
      <c r="B1623" s="7" t="s">
        <v>1173</v>
      </c>
      <c r="C1623" s="7" t="s">
        <v>89</v>
      </c>
      <c r="D1623" s="7" t="s">
        <v>86</v>
      </c>
      <c r="E1623" s="7">
        <v>4</v>
      </c>
      <c r="F1623" s="8">
        <v>1</v>
      </c>
      <c r="G1623" s="8">
        <v>2</v>
      </c>
      <c r="H1623" s="7" t="s">
        <v>87</v>
      </c>
      <c r="I1623" s="7">
        <v>2</v>
      </c>
      <c r="J1623" s="7" t="s">
        <v>1431</v>
      </c>
      <c r="K1623" s="7" t="s">
        <v>47</v>
      </c>
      <c r="L1623" s="7" t="s">
        <v>38</v>
      </c>
      <c r="M1623" s="7">
        <f t="shared" si="125"/>
        <v>0</v>
      </c>
      <c r="N1623" s="9"/>
      <c r="O1623" s="7"/>
      <c r="P1623" s="9"/>
      <c r="Q1623" s="7" t="s">
        <v>52</v>
      </c>
      <c r="R1623" s="7" t="s">
        <v>52</v>
      </c>
      <c r="S1623" s="7"/>
      <c r="T1623" s="7"/>
      <c r="U1623" s="7"/>
      <c r="V1623" s="7"/>
      <c r="W1623" s="7"/>
      <c r="X1623" s="7">
        <v>3</v>
      </c>
      <c r="Y1623" s="7"/>
      <c r="Z1623" s="7"/>
      <c r="AA1623" s="7"/>
      <c r="AB1623" s="7">
        <f t="shared" si="127"/>
        <v>1</v>
      </c>
      <c r="AC1623" s="7">
        <f t="shared" si="126"/>
        <v>0</v>
      </c>
      <c r="AD1623" s="7"/>
      <c r="AE1623" s="7"/>
      <c r="AF1623" s="7"/>
      <c r="AG1623" s="7"/>
      <c r="AH1623" s="7"/>
      <c r="AI1623" s="7"/>
      <c r="AJ1623" s="7"/>
      <c r="AK1623" s="7"/>
      <c r="AL1623" s="9"/>
      <c r="AM1623" s="7" t="s">
        <v>1432</v>
      </c>
      <c r="AN1623" s="7" t="s">
        <v>2847</v>
      </c>
      <c r="AO1623" s="12"/>
    </row>
    <row r="1624" spans="1:41" s="11" customFormat="1" x14ac:dyDescent="0.25">
      <c r="A1624" s="2">
        <v>1623</v>
      </c>
      <c r="B1624" s="7" t="s">
        <v>31</v>
      </c>
      <c r="C1624" s="7" t="s">
        <v>100</v>
      </c>
      <c r="D1624" s="7">
        <v>11</v>
      </c>
      <c r="E1624" s="7">
        <v>11</v>
      </c>
      <c r="F1624" s="8">
        <v>1</v>
      </c>
      <c r="G1624" s="8">
        <v>1</v>
      </c>
      <c r="H1624" s="7">
        <v>1</v>
      </c>
      <c r="I1624" s="7">
        <v>1</v>
      </c>
      <c r="J1624" s="7" t="s">
        <v>1431</v>
      </c>
      <c r="K1624" s="7" t="s">
        <v>55</v>
      </c>
      <c r="L1624" s="7" t="s">
        <v>38</v>
      </c>
      <c r="M1624" s="7">
        <f t="shared" si="125"/>
        <v>0</v>
      </c>
      <c r="N1624" s="9"/>
      <c r="O1624" s="7"/>
      <c r="P1624" s="9"/>
      <c r="Q1624" s="7" t="s">
        <v>52</v>
      </c>
      <c r="R1624" s="7" t="s">
        <v>52</v>
      </c>
      <c r="S1624" s="7"/>
      <c r="T1624" s="7"/>
      <c r="U1624" s="7"/>
      <c r="V1624" s="7"/>
      <c r="W1624" s="7"/>
      <c r="X1624" s="7">
        <v>3</v>
      </c>
      <c r="Y1624" s="7"/>
      <c r="Z1624" s="7"/>
      <c r="AA1624" s="7"/>
      <c r="AB1624" s="7">
        <f t="shared" si="127"/>
        <v>1</v>
      </c>
      <c r="AC1624" s="7">
        <f t="shared" si="126"/>
        <v>0</v>
      </c>
      <c r="AD1624" s="7"/>
      <c r="AE1624" s="7"/>
      <c r="AF1624" s="7"/>
      <c r="AG1624" s="7"/>
      <c r="AH1624" s="7"/>
      <c r="AI1624" s="7"/>
      <c r="AJ1624" s="7"/>
      <c r="AK1624" s="7"/>
      <c r="AL1624" s="9"/>
      <c r="AM1624" s="7" t="s">
        <v>1432</v>
      </c>
      <c r="AN1624" s="7" t="s">
        <v>2847</v>
      </c>
      <c r="AO1624" s="12"/>
    </row>
    <row r="1625" spans="1:41" s="11" customFormat="1" ht="24" x14ac:dyDescent="0.25">
      <c r="A1625" s="2">
        <v>1624</v>
      </c>
      <c r="B1625" s="7" t="s">
        <v>579</v>
      </c>
      <c r="C1625" s="7" t="s">
        <v>237</v>
      </c>
      <c r="D1625" s="7" t="s">
        <v>1440</v>
      </c>
      <c r="E1625" s="7">
        <f>15+6+9+5</f>
        <v>35</v>
      </c>
      <c r="F1625" s="8">
        <v>1</v>
      </c>
      <c r="G1625" s="9" t="s">
        <v>1441</v>
      </c>
      <c r="H1625" s="7" t="s">
        <v>746</v>
      </c>
      <c r="I1625" s="7">
        <v>7</v>
      </c>
      <c r="J1625" s="7" t="s">
        <v>206</v>
      </c>
      <c r="K1625" s="7" t="s">
        <v>1442</v>
      </c>
      <c r="L1625" s="7" t="s">
        <v>52</v>
      </c>
      <c r="M1625" s="7">
        <f t="shared" si="125"/>
        <v>1</v>
      </c>
      <c r="N1625" s="9" t="s">
        <v>652</v>
      </c>
      <c r="O1625" s="7">
        <v>0</v>
      </c>
      <c r="P1625" s="9" t="s">
        <v>63</v>
      </c>
      <c r="Q1625" s="7" t="s">
        <v>38</v>
      </c>
      <c r="R1625" s="7" t="s">
        <v>38</v>
      </c>
      <c r="S1625" s="10" t="s">
        <v>2293</v>
      </c>
      <c r="T1625" s="7">
        <v>16</v>
      </c>
      <c r="U1625" s="7">
        <v>16</v>
      </c>
      <c r="V1625" s="7">
        <v>80</v>
      </c>
      <c r="W1625" s="7" t="s">
        <v>88</v>
      </c>
      <c r="X1625" s="7">
        <v>5</v>
      </c>
      <c r="Y1625" s="7"/>
      <c r="Z1625" s="7"/>
      <c r="AA1625" s="7"/>
      <c r="AB1625" s="7">
        <f t="shared" si="127"/>
        <v>7</v>
      </c>
      <c r="AC1625" s="7">
        <f t="shared" si="126"/>
        <v>7</v>
      </c>
      <c r="AD1625" s="7"/>
      <c r="AE1625" s="7"/>
      <c r="AF1625" s="7"/>
      <c r="AG1625" s="7"/>
      <c r="AH1625" s="7"/>
      <c r="AI1625" s="7"/>
      <c r="AJ1625" s="7"/>
      <c r="AK1625" s="7" t="s">
        <v>304</v>
      </c>
      <c r="AL1625" s="9"/>
      <c r="AM1625" s="7" t="s">
        <v>582</v>
      </c>
      <c r="AN1625" s="7" t="s">
        <v>2851</v>
      </c>
      <c r="AO1625" s="15" t="s">
        <v>2782</v>
      </c>
    </row>
    <row r="1626" spans="1:41" s="11" customFormat="1" ht="36" x14ac:dyDescent="0.25">
      <c r="A1626" s="2">
        <v>1625</v>
      </c>
      <c r="B1626" s="7" t="s">
        <v>722</v>
      </c>
      <c r="C1626" s="7" t="s">
        <v>725</v>
      </c>
      <c r="D1626" s="7">
        <f>158+4</f>
        <v>162</v>
      </c>
      <c r="E1626" s="7">
        <f>158+4</f>
        <v>162</v>
      </c>
      <c r="F1626" s="8">
        <v>1</v>
      </c>
      <c r="G1626" s="8">
        <v>70</v>
      </c>
      <c r="H1626" s="7" t="s">
        <v>1443</v>
      </c>
      <c r="I1626" s="7">
        <f>28+7+6+29</f>
        <v>70</v>
      </c>
      <c r="J1626" s="7" t="s">
        <v>206</v>
      </c>
      <c r="K1626" s="7" t="s">
        <v>1444</v>
      </c>
      <c r="L1626" s="7" t="s">
        <v>52</v>
      </c>
      <c r="M1626" s="7">
        <f t="shared" si="125"/>
        <v>1</v>
      </c>
      <c r="N1626" s="9"/>
      <c r="O1626" s="7"/>
      <c r="P1626" s="9"/>
      <c r="Q1626" s="7" t="s">
        <v>52</v>
      </c>
      <c r="R1626" s="7" t="s">
        <v>52</v>
      </c>
      <c r="S1626" s="7"/>
      <c r="T1626" s="7" t="s">
        <v>1445</v>
      </c>
      <c r="U1626" s="7">
        <v>46</v>
      </c>
      <c r="V1626" s="7">
        <v>100</v>
      </c>
      <c r="W1626" s="7" t="s">
        <v>79</v>
      </c>
      <c r="X1626" s="7">
        <v>50</v>
      </c>
      <c r="Y1626" s="7">
        <v>98</v>
      </c>
      <c r="Z1626" s="7">
        <v>98</v>
      </c>
      <c r="AA1626" s="7">
        <v>70</v>
      </c>
      <c r="AB1626" s="7">
        <f t="shared" si="127"/>
        <v>64.666666666666671</v>
      </c>
      <c r="AC1626" s="7">
        <f t="shared" si="126"/>
        <v>64.666666666666671</v>
      </c>
      <c r="AD1626" s="7"/>
      <c r="AE1626" s="7"/>
      <c r="AF1626" s="7"/>
      <c r="AG1626" s="7"/>
      <c r="AH1626" s="7"/>
      <c r="AI1626" s="10" t="s">
        <v>2316</v>
      </c>
      <c r="AJ1626" s="7"/>
      <c r="AK1626" s="7"/>
      <c r="AL1626" s="9" t="s">
        <v>38</v>
      </c>
      <c r="AM1626" s="7" t="s">
        <v>582</v>
      </c>
      <c r="AN1626" s="7" t="s">
        <v>2851</v>
      </c>
      <c r="AO1626" s="15" t="s">
        <v>2783</v>
      </c>
    </row>
    <row r="1627" spans="1:41" s="11" customFormat="1" ht="24" x14ac:dyDescent="0.25">
      <c r="A1627" s="2">
        <v>1626</v>
      </c>
      <c r="B1627" s="7" t="s">
        <v>722</v>
      </c>
      <c r="C1627" s="7" t="s">
        <v>1446</v>
      </c>
      <c r="D1627" s="7" t="s">
        <v>1447</v>
      </c>
      <c r="E1627" s="7">
        <v>17</v>
      </c>
      <c r="F1627" s="8">
        <v>1</v>
      </c>
      <c r="G1627" s="8">
        <v>7</v>
      </c>
      <c r="H1627" s="7" t="s">
        <v>341</v>
      </c>
      <c r="I1627" s="7">
        <v>7</v>
      </c>
      <c r="J1627" s="7" t="s">
        <v>206</v>
      </c>
      <c r="K1627" s="7" t="s">
        <v>1444</v>
      </c>
      <c r="L1627" s="7" t="s">
        <v>52</v>
      </c>
      <c r="M1627" s="7">
        <f t="shared" si="125"/>
        <v>1</v>
      </c>
      <c r="N1627" s="9"/>
      <c r="O1627" s="7"/>
      <c r="P1627" s="9"/>
      <c r="Q1627" s="7" t="s">
        <v>52</v>
      </c>
      <c r="R1627" s="7" t="s">
        <v>52</v>
      </c>
      <c r="S1627" s="10" t="s">
        <v>2294</v>
      </c>
      <c r="T1627" s="7">
        <v>45</v>
      </c>
      <c r="U1627" s="7">
        <v>45</v>
      </c>
      <c r="V1627" s="7">
        <v>55</v>
      </c>
      <c r="W1627" s="7" t="s">
        <v>83</v>
      </c>
      <c r="X1627" s="7">
        <v>15</v>
      </c>
      <c r="Y1627" s="7"/>
      <c r="Z1627" s="7"/>
      <c r="AA1627" s="7"/>
      <c r="AB1627" s="7">
        <f t="shared" si="127"/>
        <v>20</v>
      </c>
      <c r="AC1627" s="7">
        <f t="shared" si="126"/>
        <v>20</v>
      </c>
      <c r="AD1627" s="7"/>
      <c r="AE1627" s="7"/>
      <c r="AF1627" s="7"/>
      <c r="AG1627" s="7"/>
      <c r="AH1627" s="7"/>
      <c r="AI1627" s="7"/>
      <c r="AJ1627" s="7"/>
      <c r="AK1627" s="10" t="s">
        <v>2506</v>
      </c>
      <c r="AL1627" s="9" t="s">
        <v>38</v>
      </c>
      <c r="AM1627" s="7" t="s">
        <v>582</v>
      </c>
      <c r="AN1627" s="7" t="s">
        <v>2851</v>
      </c>
      <c r="AO1627" s="15" t="s">
        <v>2784</v>
      </c>
    </row>
    <row r="1628" spans="1:41" s="11" customFormat="1" x14ac:dyDescent="0.25">
      <c r="A1628" s="2">
        <v>1627</v>
      </c>
      <c r="B1628" s="7" t="s">
        <v>722</v>
      </c>
      <c r="C1628" s="7" t="s">
        <v>50</v>
      </c>
      <c r="D1628" s="7">
        <v>20</v>
      </c>
      <c r="E1628" s="7">
        <v>20</v>
      </c>
      <c r="F1628" s="8">
        <v>1</v>
      </c>
      <c r="G1628" s="8">
        <v>3</v>
      </c>
      <c r="H1628" s="7">
        <v>3</v>
      </c>
      <c r="I1628" s="7">
        <v>3</v>
      </c>
      <c r="J1628" s="7" t="s">
        <v>206</v>
      </c>
      <c r="K1628" s="7" t="s">
        <v>1444</v>
      </c>
      <c r="L1628" s="7" t="s">
        <v>52</v>
      </c>
      <c r="M1628" s="7">
        <f t="shared" si="125"/>
        <v>1</v>
      </c>
      <c r="N1628" s="9"/>
      <c r="O1628" s="7"/>
      <c r="P1628" s="9"/>
      <c r="Q1628" s="7" t="s">
        <v>52</v>
      </c>
      <c r="R1628" s="7" t="s">
        <v>52</v>
      </c>
      <c r="S1628" s="7"/>
      <c r="T1628" s="7"/>
      <c r="U1628" s="7"/>
      <c r="V1628" s="7"/>
      <c r="W1628" s="7"/>
      <c r="X1628" s="7"/>
      <c r="Y1628" s="7">
        <v>100</v>
      </c>
      <c r="Z1628" s="7">
        <v>100</v>
      </c>
      <c r="AA1628" s="7">
        <v>50</v>
      </c>
      <c r="AB1628" s="7">
        <f t="shared" si="127"/>
        <v>33.333333333333336</v>
      </c>
      <c r="AC1628" s="7">
        <f t="shared" si="126"/>
        <v>33.333333333333336</v>
      </c>
      <c r="AD1628" s="7"/>
      <c r="AE1628" s="7"/>
      <c r="AF1628" s="7"/>
      <c r="AG1628" s="7"/>
      <c r="AH1628" s="7"/>
      <c r="AI1628" s="7"/>
      <c r="AJ1628" s="7"/>
      <c r="AK1628" s="7"/>
      <c r="AL1628" s="9" t="s">
        <v>38</v>
      </c>
      <c r="AM1628" s="7" t="s">
        <v>582</v>
      </c>
      <c r="AN1628" s="7" t="s">
        <v>2851</v>
      </c>
      <c r="AO1628" s="15" t="s">
        <v>2785</v>
      </c>
    </row>
    <row r="1629" spans="1:41" s="11" customFormat="1" ht="24" x14ac:dyDescent="0.25">
      <c r="A1629" s="2">
        <v>1628</v>
      </c>
      <c r="B1629" s="7" t="s">
        <v>722</v>
      </c>
      <c r="C1629" s="7" t="s">
        <v>237</v>
      </c>
      <c r="D1629" s="7" t="s">
        <v>1448</v>
      </c>
      <c r="E1629" s="7">
        <v>10</v>
      </c>
      <c r="F1629" s="8">
        <v>1</v>
      </c>
      <c r="G1629" s="8">
        <v>4</v>
      </c>
      <c r="H1629" s="7" t="s">
        <v>143</v>
      </c>
      <c r="I1629" s="7">
        <v>4</v>
      </c>
      <c r="J1629" s="7" t="s">
        <v>206</v>
      </c>
      <c r="K1629" s="7" t="s">
        <v>1444</v>
      </c>
      <c r="L1629" s="7" t="s">
        <v>52</v>
      </c>
      <c r="M1629" s="7">
        <f t="shared" si="125"/>
        <v>1</v>
      </c>
      <c r="N1629" s="9"/>
      <c r="O1629" s="7"/>
      <c r="P1629" s="9"/>
      <c r="Q1629" s="7" t="s">
        <v>52</v>
      </c>
      <c r="R1629" s="7" t="s">
        <v>52</v>
      </c>
      <c r="S1629" s="7"/>
      <c r="T1629" s="7" t="s">
        <v>1399</v>
      </c>
      <c r="U1629" s="7">
        <v>35</v>
      </c>
      <c r="V1629" s="7">
        <v>50</v>
      </c>
      <c r="W1629" s="7" t="s">
        <v>83</v>
      </c>
      <c r="X1629" s="7">
        <v>10</v>
      </c>
      <c r="Y1629" s="7"/>
      <c r="Z1629" s="7"/>
      <c r="AA1629" s="7"/>
      <c r="AB1629" s="7">
        <f t="shared" si="127"/>
        <v>15</v>
      </c>
      <c r="AC1629" s="7">
        <f t="shared" si="126"/>
        <v>15</v>
      </c>
      <c r="AD1629" s="7"/>
      <c r="AE1629" s="7"/>
      <c r="AF1629" s="7"/>
      <c r="AG1629" s="7"/>
      <c r="AH1629" s="7"/>
      <c r="AI1629" s="7"/>
      <c r="AJ1629" s="7"/>
      <c r="AK1629" s="10" t="s">
        <v>2506</v>
      </c>
      <c r="AL1629" s="9" t="s">
        <v>38</v>
      </c>
      <c r="AM1629" s="7" t="s">
        <v>582</v>
      </c>
      <c r="AN1629" s="7" t="s">
        <v>2851</v>
      </c>
      <c r="AO1629" s="15" t="s">
        <v>2786</v>
      </c>
    </row>
    <row r="1630" spans="1:41" s="11" customFormat="1" ht="24" x14ac:dyDescent="0.25">
      <c r="A1630" s="2">
        <v>1629</v>
      </c>
      <c r="B1630" s="7" t="s">
        <v>722</v>
      </c>
      <c r="C1630" s="7" t="s">
        <v>50</v>
      </c>
      <c r="D1630" s="7">
        <v>58</v>
      </c>
      <c r="E1630" s="7">
        <v>58</v>
      </c>
      <c r="F1630" s="8">
        <v>1</v>
      </c>
      <c r="G1630" s="8">
        <v>1</v>
      </c>
      <c r="H1630" s="7">
        <v>1</v>
      </c>
      <c r="I1630" s="7">
        <v>1</v>
      </c>
      <c r="J1630" s="7" t="s">
        <v>206</v>
      </c>
      <c r="K1630" s="7" t="s">
        <v>1444</v>
      </c>
      <c r="L1630" s="7" t="s">
        <v>52</v>
      </c>
      <c r="M1630" s="7">
        <f t="shared" si="125"/>
        <v>1</v>
      </c>
      <c r="N1630" s="9"/>
      <c r="O1630" s="7"/>
      <c r="P1630" s="9"/>
      <c r="Q1630" s="7" t="s">
        <v>52</v>
      </c>
      <c r="R1630" s="7" t="s">
        <v>52</v>
      </c>
      <c r="S1630" s="7"/>
      <c r="T1630" s="7"/>
      <c r="U1630" s="7"/>
      <c r="V1630" s="7"/>
      <c r="W1630" s="7"/>
      <c r="X1630" s="7"/>
      <c r="Y1630" s="7">
        <v>80</v>
      </c>
      <c r="Z1630" s="7">
        <v>80</v>
      </c>
      <c r="AA1630" s="7">
        <v>75</v>
      </c>
      <c r="AB1630" s="7">
        <f t="shared" si="127"/>
        <v>26.666666666666668</v>
      </c>
      <c r="AC1630" s="7">
        <f t="shared" si="126"/>
        <v>26.666666666666668</v>
      </c>
      <c r="AD1630" s="7"/>
      <c r="AE1630" s="7"/>
      <c r="AF1630" s="7"/>
      <c r="AG1630" s="7"/>
      <c r="AH1630" s="7"/>
      <c r="AI1630" s="7"/>
      <c r="AJ1630" s="7"/>
      <c r="AK1630" s="7"/>
      <c r="AL1630" s="9" t="s">
        <v>38</v>
      </c>
      <c r="AM1630" s="7" t="s">
        <v>582</v>
      </c>
      <c r="AN1630" s="7" t="s">
        <v>2851</v>
      </c>
      <c r="AO1630" s="15" t="s">
        <v>2787</v>
      </c>
    </row>
    <row r="1631" spans="1:41" s="11" customFormat="1" x14ac:dyDescent="0.25">
      <c r="A1631" s="2">
        <v>1630</v>
      </c>
      <c r="B1631" s="7" t="s">
        <v>722</v>
      </c>
      <c r="C1631" s="7" t="s">
        <v>50</v>
      </c>
      <c r="D1631" s="7">
        <v>5</v>
      </c>
      <c r="E1631" s="7">
        <v>5</v>
      </c>
      <c r="F1631" s="8">
        <v>1</v>
      </c>
      <c r="G1631" s="8">
        <v>1</v>
      </c>
      <c r="H1631" s="7">
        <v>1</v>
      </c>
      <c r="I1631" s="7">
        <v>1</v>
      </c>
      <c r="J1631" s="7" t="s">
        <v>206</v>
      </c>
      <c r="K1631" s="7" t="s">
        <v>1444</v>
      </c>
      <c r="L1631" s="7" t="s">
        <v>52</v>
      </c>
      <c r="M1631" s="7">
        <f t="shared" si="125"/>
        <v>1</v>
      </c>
      <c r="N1631" s="9"/>
      <c r="O1631" s="7"/>
      <c r="P1631" s="9"/>
      <c r="Q1631" s="7" t="s">
        <v>52</v>
      </c>
      <c r="R1631" s="7" t="s">
        <v>52</v>
      </c>
      <c r="S1631" s="7"/>
      <c r="T1631" s="7"/>
      <c r="U1631" s="7"/>
      <c r="V1631" s="7"/>
      <c r="W1631" s="7"/>
      <c r="X1631" s="7"/>
      <c r="Y1631" s="7">
        <v>25</v>
      </c>
      <c r="Z1631" s="7">
        <v>25</v>
      </c>
      <c r="AA1631" s="7">
        <v>40</v>
      </c>
      <c r="AB1631" s="7">
        <f t="shared" si="127"/>
        <v>8.3333333333333339</v>
      </c>
      <c r="AC1631" s="7">
        <f t="shared" si="126"/>
        <v>8.3333333333333339</v>
      </c>
      <c r="AD1631" s="7"/>
      <c r="AE1631" s="7"/>
      <c r="AF1631" s="7"/>
      <c r="AG1631" s="7"/>
      <c r="AH1631" s="7"/>
      <c r="AI1631" s="7"/>
      <c r="AJ1631" s="7"/>
      <c r="AK1631" s="10" t="s">
        <v>2507</v>
      </c>
      <c r="AL1631" s="9"/>
      <c r="AM1631" s="7" t="s">
        <v>582</v>
      </c>
      <c r="AN1631" s="7" t="s">
        <v>2851</v>
      </c>
      <c r="AO1631" s="12"/>
    </row>
    <row r="1632" spans="1:41" s="11" customFormat="1" ht="24" x14ac:dyDescent="0.25">
      <c r="A1632" s="2">
        <v>1631</v>
      </c>
      <c r="B1632" s="7" t="s">
        <v>49</v>
      </c>
      <c r="C1632" s="7" t="s">
        <v>577</v>
      </c>
      <c r="D1632" s="7">
        <f>1043-17</f>
        <v>1026</v>
      </c>
      <c r="E1632" s="7">
        <f>1043-17</f>
        <v>1026</v>
      </c>
      <c r="F1632" s="8">
        <v>35</v>
      </c>
      <c r="G1632" s="8">
        <v>36</v>
      </c>
      <c r="H1632" s="7" t="s">
        <v>1449</v>
      </c>
      <c r="I1632" s="7">
        <v>36</v>
      </c>
      <c r="J1632" s="7" t="s">
        <v>639</v>
      </c>
      <c r="K1632" s="7"/>
      <c r="L1632" s="7" t="s">
        <v>38</v>
      </c>
      <c r="M1632" s="7">
        <f t="shared" si="125"/>
        <v>0</v>
      </c>
      <c r="N1632" s="9"/>
      <c r="O1632" s="7"/>
      <c r="P1632" s="9"/>
      <c r="Q1632" s="7"/>
      <c r="R1632" s="7"/>
      <c r="S1632" s="7"/>
      <c r="T1632" s="7"/>
      <c r="U1632" s="7"/>
      <c r="V1632" s="7"/>
      <c r="W1632" s="7"/>
      <c r="X1632" s="7"/>
      <c r="Y1632" s="7"/>
      <c r="Z1632" s="7"/>
      <c r="AA1632" s="7"/>
      <c r="AB1632" s="7">
        <v>0.33333333333333298</v>
      </c>
      <c r="AC1632" s="7">
        <f t="shared" si="126"/>
        <v>0</v>
      </c>
      <c r="AD1632" s="7"/>
      <c r="AE1632" s="7"/>
      <c r="AF1632" s="7"/>
      <c r="AG1632" s="7"/>
      <c r="AH1632" s="7"/>
      <c r="AI1632" s="7"/>
      <c r="AJ1632" s="7"/>
      <c r="AK1632" s="7"/>
      <c r="AL1632" s="9"/>
      <c r="AM1632" s="7"/>
      <c r="AN1632" s="7"/>
      <c r="AO1632" s="15" t="s">
        <v>2788</v>
      </c>
    </row>
    <row r="1633" spans="1:41" s="11" customFormat="1" x14ac:dyDescent="0.25">
      <c r="A1633" s="2">
        <v>1632</v>
      </c>
      <c r="B1633" s="7" t="s">
        <v>31</v>
      </c>
      <c r="C1633" s="7" t="s">
        <v>100</v>
      </c>
      <c r="D1633" s="7">
        <v>7</v>
      </c>
      <c r="E1633" s="7">
        <v>7</v>
      </c>
      <c r="F1633" s="8">
        <v>1</v>
      </c>
      <c r="G1633" s="8">
        <v>1</v>
      </c>
      <c r="H1633" s="7">
        <v>1</v>
      </c>
      <c r="I1633" s="7">
        <v>1</v>
      </c>
      <c r="J1633" s="7" t="s">
        <v>639</v>
      </c>
      <c r="K1633" s="7"/>
      <c r="L1633" s="7" t="s">
        <v>38</v>
      </c>
      <c r="M1633" s="7">
        <f t="shared" si="125"/>
        <v>0</v>
      </c>
      <c r="N1633" s="9"/>
      <c r="O1633" s="7"/>
      <c r="P1633" s="9"/>
      <c r="Q1633" s="7"/>
      <c r="R1633" s="7"/>
      <c r="S1633" s="7"/>
      <c r="T1633" s="7"/>
      <c r="U1633" s="7"/>
      <c r="V1633" s="7"/>
      <c r="W1633" s="7"/>
      <c r="X1633" s="7"/>
      <c r="Y1633" s="7"/>
      <c r="Z1633" s="7"/>
      <c r="AA1633" s="7"/>
      <c r="AB1633" s="7">
        <v>0.33333333333333298</v>
      </c>
      <c r="AC1633" s="7">
        <f t="shared" si="126"/>
        <v>0</v>
      </c>
      <c r="AD1633" s="7"/>
      <c r="AE1633" s="7"/>
      <c r="AF1633" s="7"/>
      <c r="AG1633" s="7"/>
      <c r="AH1633" s="7"/>
      <c r="AI1633" s="7"/>
      <c r="AJ1633" s="7"/>
      <c r="AK1633" s="7"/>
      <c r="AL1633" s="9"/>
      <c r="AM1633" s="7"/>
      <c r="AN1633" s="7"/>
      <c r="AO1633" s="15" t="s">
        <v>2789</v>
      </c>
    </row>
    <row r="1634" spans="1:41" s="11" customFormat="1" x14ac:dyDescent="0.25">
      <c r="A1634" s="2">
        <v>1633</v>
      </c>
      <c r="B1634" s="7" t="s">
        <v>103</v>
      </c>
      <c r="C1634" s="7" t="s">
        <v>89</v>
      </c>
      <c r="D1634" s="7">
        <v>32</v>
      </c>
      <c r="E1634" s="7">
        <v>32</v>
      </c>
      <c r="F1634" s="8">
        <v>2</v>
      </c>
      <c r="G1634" s="8">
        <v>2</v>
      </c>
      <c r="H1634" s="7" t="s">
        <v>87</v>
      </c>
      <c r="I1634" s="7">
        <v>2</v>
      </c>
      <c r="J1634" s="7" t="s">
        <v>639</v>
      </c>
      <c r="K1634" s="7"/>
      <c r="L1634" s="7" t="s">
        <v>38</v>
      </c>
      <c r="M1634" s="7">
        <f t="shared" si="125"/>
        <v>0</v>
      </c>
      <c r="N1634" s="9"/>
      <c r="O1634" s="7"/>
      <c r="P1634" s="9"/>
      <c r="Q1634" s="7"/>
      <c r="R1634" s="7"/>
      <c r="S1634" s="7"/>
      <c r="T1634" s="7"/>
      <c r="U1634" s="7"/>
      <c r="V1634" s="7"/>
      <c r="W1634" s="7"/>
      <c r="X1634" s="7"/>
      <c r="Y1634" s="7"/>
      <c r="Z1634" s="7"/>
      <c r="AA1634" s="7"/>
      <c r="AB1634" s="7">
        <v>0.33333333333333298</v>
      </c>
      <c r="AC1634" s="7">
        <f t="shared" si="126"/>
        <v>0</v>
      </c>
      <c r="AD1634" s="7"/>
      <c r="AE1634" s="7"/>
      <c r="AF1634" s="7"/>
      <c r="AG1634" s="7"/>
      <c r="AH1634" s="7"/>
      <c r="AI1634" s="7"/>
      <c r="AJ1634" s="7"/>
      <c r="AK1634" s="7"/>
      <c r="AL1634" s="9"/>
      <c r="AM1634" s="7"/>
      <c r="AN1634" s="7"/>
      <c r="AO1634" s="15" t="s">
        <v>2790</v>
      </c>
    </row>
    <row r="1635" spans="1:41" s="11" customFormat="1" x14ac:dyDescent="0.25">
      <c r="A1635" s="2">
        <v>1634</v>
      </c>
      <c r="B1635" s="7" t="s">
        <v>73</v>
      </c>
      <c r="C1635" s="7" t="s">
        <v>89</v>
      </c>
      <c r="D1635" s="7">
        <v>127</v>
      </c>
      <c r="E1635" s="7">
        <v>127</v>
      </c>
      <c r="F1635" s="8">
        <v>9</v>
      </c>
      <c r="G1635" s="8">
        <v>9</v>
      </c>
      <c r="H1635" s="7" t="s">
        <v>1153</v>
      </c>
      <c r="I1635" s="7">
        <v>9</v>
      </c>
      <c r="J1635" s="7" t="s">
        <v>639</v>
      </c>
      <c r="K1635" s="7"/>
      <c r="L1635" s="7" t="s">
        <v>38</v>
      </c>
      <c r="M1635" s="7">
        <f t="shared" si="125"/>
        <v>0</v>
      </c>
      <c r="N1635" s="9"/>
      <c r="O1635" s="7"/>
      <c r="P1635" s="9"/>
      <c r="Q1635" s="7"/>
      <c r="R1635" s="7"/>
      <c r="S1635" s="7"/>
      <c r="T1635" s="7"/>
      <c r="U1635" s="7"/>
      <c r="V1635" s="7"/>
      <c r="W1635" s="7"/>
      <c r="X1635" s="7"/>
      <c r="Y1635" s="7"/>
      <c r="Z1635" s="7"/>
      <c r="AA1635" s="7"/>
      <c r="AB1635" s="7">
        <v>0.33333333333333298</v>
      </c>
      <c r="AC1635" s="7">
        <f t="shared" si="126"/>
        <v>0</v>
      </c>
      <c r="AD1635" s="7"/>
      <c r="AE1635" s="7"/>
      <c r="AF1635" s="7"/>
      <c r="AG1635" s="7"/>
      <c r="AH1635" s="7"/>
      <c r="AI1635" s="7"/>
      <c r="AJ1635" s="7"/>
      <c r="AK1635" s="7"/>
      <c r="AL1635" s="9"/>
      <c r="AM1635" s="7"/>
      <c r="AN1635" s="7"/>
      <c r="AO1635" s="15" t="s">
        <v>2791</v>
      </c>
    </row>
    <row r="1636" spans="1:41" s="11" customFormat="1" x14ac:dyDescent="0.25">
      <c r="A1636" s="2">
        <v>1635</v>
      </c>
      <c r="B1636" s="7" t="s">
        <v>149</v>
      </c>
      <c r="C1636" s="7" t="s">
        <v>577</v>
      </c>
      <c r="D1636" s="7">
        <v>63</v>
      </c>
      <c r="E1636" s="7">
        <v>63</v>
      </c>
      <c r="F1636" s="8">
        <v>7</v>
      </c>
      <c r="G1636" s="8">
        <v>7</v>
      </c>
      <c r="H1636" s="7" t="s">
        <v>122</v>
      </c>
      <c r="I1636" s="7">
        <v>7</v>
      </c>
      <c r="J1636" s="7" t="s">
        <v>639</v>
      </c>
      <c r="K1636" s="7"/>
      <c r="L1636" s="7" t="s">
        <v>38</v>
      </c>
      <c r="M1636" s="7">
        <f t="shared" si="125"/>
        <v>0</v>
      </c>
      <c r="N1636" s="9"/>
      <c r="O1636" s="7"/>
      <c r="P1636" s="9"/>
      <c r="Q1636" s="7"/>
      <c r="R1636" s="7"/>
      <c r="S1636" s="7"/>
      <c r="T1636" s="7"/>
      <c r="U1636" s="7"/>
      <c r="V1636" s="7"/>
      <c r="W1636" s="7"/>
      <c r="X1636" s="7"/>
      <c r="Y1636" s="7"/>
      <c r="Z1636" s="7"/>
      <c r="AA1636" s="7"/>
      <c r="AB1636" s="7">
        <v>0.33333333333333298</v>
      </c>
      <c r="AC1636" s="7">
        <f t="shared" si="126"/>
        <v>0</v>
      </c>
      <c r="AD1636" s="7"/>
      <c r="AE1636" s="7"/>
      <c r="AF1636" s="7"/>
      <c r="AG1636" s="7"/>
      <c r="AH1636" s="7"/>
      <c r="AI1636" s="7"/>
      <c r="AJ1636" s="7"/>
      <c r="AK1636" s="7"/>
      <c r="AL1636" s="9"/>
      <c r="AM1636" s="7"/>
      <c r="AN1636" s="7"/>
      <c r="AO1636" s="15" t="s">
        <v>2792</v>
      </c>
    </row>
    <row r="1637" spans="1:41" s="11" customFormat="1" x14ac:dyDescent="0.25">
      <c r="A1637" s="2">
        <v>1636</v>
      </c>
      <c r="B1637" s="7" t="s">
        <v>43</v>
      </c>
      <c r="C1637" s="7" t="s">
        <v>577</v>
      </c>
      <c r="D1637" s="7">
        <v>84</v>
      </c>
      <c r="E1637" s="7">
        <v>84</v>
      </c>
      <c r="F1637" s="8">
        <v>7</v>
      </c>
      <c r="G1637" s="8">
        <v>7</v>
      </c>
      <c r="H1637" s="7" t="s">
        <v>122</v>
      </c>
      <c r="I1637" s="7">
        <v>7</v>
      </c>
      <c r="J1637" s="7" t="s">
        <v>639</v>
      </c>
      <c r="K1637" s="7"/>
      <c r="L1637" s="7" t="s">
        <v>38</v>
      </c>
      <c r="M1637" s="7">
        <f t="shared" si="125"/>
        <v>0</v>
      </c>
      <c r="N1637" s="9"/>
      <c r="O1637" s="7"/>
      <c r="P1637" s="9"/>
      <c r="Q1637" s="7"/>
      <c r="R1637" s="7"/>
      <c r="S1637" s="7"/>
      <c r="T1637" s="7"/>
      <c r="U1637" s="7"/>
      <c r="V1637" s="7"/>
      <c r="W1637" s="7"/>
      <c r="X1637" s="7"/>
      <c r="Y1637" s="7"/>
      <c r="Z1637" s="7"/>
      <c r="AA1637" s="7"/>
      <c r="AB1637" s="7">
        <v>0.33333333333333298</v>
      </c>
      <c r="AC1637" s="7">
        <f t="shared" si="126"/>
        <v>0</v>
      </c>
      <c r="AD1637" s="7"/>
      <c r="AE1637" s="7"/>
      <c r="AF1637" s="7"/>
      <c r="AG1637" s="7"/>
      <c r="AH1637" s="7"/>
      <c r="AI1637" s="7"/>
      <c r="AJ1637" s="7"/>
      <c r="AK1637" s="7"/>
      <c r="AL1637" s="9"/>
      <c r="AM1637" s="7"/>
      <c r="AN1637" s="7"/>
      <c r="AO1637" s="15" t="s">
        <v>2793</v>
      </c>
    </row>
    <row r="1638" spans="1:41" s="11" customFormat="1" x14ac:dyDescent="0.25">
      <c r="A1638" s="2">
        <v>1637</v>
      </c>
      <c r="B1638" s="7" t="s">
        <v>68</v>
      </c>
      <c r="C1638" s="7" t="s">
        <v>577</v>
      </c>
      <c r="D1638" s="7">
        <v>42</v>
      </c>
      <c r="E1638" s="7">
        <v>42</v>
      </c>
      <c r="F1638" s="8">
        <v>3</v>
      </c>
      <c r="G1638" s="8">
        <v>3</v>
      </c>
      <c r="H1638" s="7" t="s">
        <v>97</v>
      </c>
      <c r="I1638" s="7">
        <v>3</v>
      </c>
      <c r="J1638" s="7" t="s">
        <v>639</v>
      </c>
      <c r="K1638" s="7"/>
      <c r="L1638" s="7" t="s">
        <v>38</v>
      </c>
      <c r="M1638" s="7">
        <f t="shared" si="125"/>
        <v>0</v>
      </c>
      <c r="N1638" s="9"/>
      <c r="O1638" s="7"/>
      <c r="P1638" s="9"/>
      <c r="Q1638" s="7"/>
      <c r="R1638" s="7"/>
      <c r="S1638" s="7"/>
      <c r="T1638" s="7"/>
      <c r="U1638" s="7"/>
      <c r="V1638" s="7"/>
      <c r="W1638" s="7"/>
      <c r="X1638" s="7"/>
      <c r="Y1638" s="7"/>
      <c r="Z1638" s="7"/>
      <c r="AA1638" s="7"/>
      <c r="AB1638" s="7">
        <v>0.33333333333333298</v>
      </c>
      <c r="AC1638" s="7">
        <f t="shared" si="126"/>
        <v>0</v>
      </c>
      <c r="AD1638" s="7"/>
      <c r="AE1638" s="7"/>
      <c r="AF1638" s="7"/>
      <c r="AG1638" s="7"/>
      <c r="AH1638" s="7"/>
      <c r="AI1638" s="7"/>
      <c r="AJ1638" s="7"/>
      <c r="AK1638" s="7"/>
      <c r="AL1638" s="9"/>
      <c r="AM1638" s="7"/>
      <c r="AN1638" s="7"/>
      <c r="AO1638" s="15" t="s">
        <v>2794</v>
      </c>
    </row>
    <row r="1639" spans="1:41" s="11" customFormat="1" x14ac:dyDescent="0.25">
      <c r="A1639" s="2">
        <v>1638</v>
      </c>
      <c r="B1639" s="7" t="s">
        <v>1450</v>
      </c>
      <c r="C1639" s="7" t="s">
        <v>100</v>
      </c>
      <c r="D1639" s="7">
        <v>21</v>
      </c>
      <c r="E1639" s="7">
        <v>21</v>
      </c>
      <c r="F1639" s="8">
        <v>1</v>
      </c>
      <c r="G1639" s="8">
        <v>1</v>
      </c>
      <c r="H1639" s="7">
        <v>1</v>
      </c>
      <c r="I1639" s="7">
        <v>1</v>
      </c>
      <c r="J1639" s="7" t="s">
        <v>639</v>
      </c>
      <c r="K1639" s="7"/>
      <c r="L1639" s="7" t="s">
        <v>38</v>
      </c>
      <c r="M1639" s="7">
        <f t="shared" si="125"/>
        <v>0</v>
      </c>
      <c r="N1639" s="9"/>
      <c r="O1639" s="7"/>
      <c r="P1639" s="9"/>
      <c r="Q1639" s="7"/>
      <c r="R1639" s="7"/>
      <c r="S1639" s="7"/>
      <c r="T1639" s="7"/>
      <c r="U1639" s="7"/>
      <c r="V1639" s="7"/>
      <c r="W1639" s="7"/>
      <c r="X1639" s="7"/>
      <c r="Y1639" s="7"/>
      <c r="Z1639" s="7"/>
      <c r="AA1639" s="7"/>
      <c r="AB1639" s="7">
        <v>0.33333333333333298</v>
      </c>
      <c r="AC1639" s="7">
        <f t="shared" si="126"/>
        <v>0</v>
      </c>
      <c r="AD1639" s="7"/>
      <c r="AE1639" s="7"/>
      <c r="AF1639" s="7"/>
      <c r="AG1639" s="7"/>
      <c r="AH1639" s="7"/>
      <c r="AI1639" s="7"/>
      <c r="AJ1639" s="7"/>
      <c r="AK1639" s="7"/>
      <c r="AL1639" s="9"/>
      <c r="AM1639" s="7"/>
      <c r="AN1639" s="7"/>
      <c r="AO1639" s="12" t="s">
        <v>1451</v>
      </c>
    </row>
    <row r="1640" spans="1:41" s="11" customFormat="1" x14ac:dyDescent="0.25">
      <c r="A1640" s="2">
        <v>1639</v>
      </c>
      <c r="B1640" s="7" t="s">
        <v>61</v>
      </c>
      <c r="C1640" s="7" t="s">
        <v>577</v>
      </c>
      <c r="D1640" s="7">
        <v>638</v>
      </c>
      <c r="E1640" s="7">
        <v>638</v>
      </c>
      <c r="F1640" s="8">
        <v>25</v>
      </c>
      <c r="G1640" s="8">
        <v>25</v>
      </c>
      <c r="H1640" s="7" t="s">
        <v>1452</v>
      </c>
      <c r="I1640" s="7">
        <v>25</v>
      </c>
      <c r="J1640" s="7" t="s">
        <v>639</v>
      </c>
      <c r="K1640" s="7"/>
      <c r="L1640" s="7" t="s">
        <v>38</v>
      </c>
      <c r="M1640" s="7">
        <f t="shared" si="125"/>
        <v>0</v>
      </c>
      <c r="N1640" s="9"/>
      <c r="O1640" s="7"/>
      <c r="P1640" s="9"/>
      <c r="Q1640" s="7"/>
      <c r="R1640" s="7"/>
      <c r="S1640" s="7"/>
      <c r="T1640" s="7"/>
      <c r="U1640" s="7"/>
      <c r="V1640" s="7"/>
      <c r="W1640" s="7"/>
      <c r="X1640" s="7"/>
      <c r="Y1640" s="7"/>
      <c r="Z1640" s="7"/>
      <c r="AA1640" s="7"/>
      <c r="AB1640" s="7">
        <v>0.33333333333333298</v>
      </c>
      <c r="AC1640" s="7">
        <f t="shared" si="126"/>
        <v>0</v>
      </c>
      <c r="AD1640" s="7"/>
      <c r="AE1640" s="7"/>
      <c r="AF1640" s="7"/>
      <c r="AG1640" s="7"/>
      <c r="AH1640" s="7"/>
      <c r="AI1640" s="7"/>
      <c r="AJ1640" s="7"/>
      <c r="AK1640" s="7"/>
      <c r="AL1640" s="9"/>
      <c r="AM1640" s="7"/>
      <c r="AN1640" s="7"/>
      <c r="AO1640" s="15" t="s">
        <v>2795</v>
      </c>
    </row>
    <row r="1641" spans="1:41" s="11" customFormat="1" x14ac:dyDescent="0.25">
      <c r="A1641" s="2">
        <v>1640</v>
      </c>
      <c r="B1641" s="7" t="s">
        <v>123</v>
      </c>
      <c r="C1641" s="7" t="s">
        <v>577</v>
      </c>
      <c r="D1641" s="7">
        <v>59</v>
      </c>
      <c r="E1641" s="7">
        <v>59</v>
      </c>
      <c r="F1641" s="8">
        <v>3</v>
      </c>
      <c r="G1641" s="8">
        <v>3</v>
      </c>
      <c r="H1641" s="7" t="s">
        <v>97</v>
      </c>
      <c r="I1641" s="7">
        <v>3</v>
      </c>
      <c r="J1641" s="7" t="s">
        <v>639</v>
      </c>
      <c r="K1641" s="7"/>
      <c r="L1641" s="7" t="s">
        <v>38</v>
      </c>
      <c r="M1641" s="7">
        <f t="shared" si="125"/>
        <v>0</v>
      </c>
      <c r="N1641" s="9"/>
      <c r="O1641" s="7"/>
      <c r="P1641" s="9"/>
      <c r="Q1641" s="7"/>
      <c r="R1641" s="7"/>
      <c r="S1641" s="7"/>
      <c r="T1641" s="7"/>
      <c r="U1641" s="7"/>
      <c r="V1641" s="7"/>
      <c r="W1641" s="7"/>
      <c r="X1641" s="7"/>
      <c r="Y1641" s="7"/>
      <c r="Z1641" s="7"/>
      <c r="AA1641" s="7"/>
      <c r="AB1641" s="7">
        <v>0.33333333333333298</v>
      </c>
      <c r="AC1641" s="7">
        <f t="shared" si="126"/>
        <v>0</v>
      </c>
      <c r="AD1641" s="7"/>
      <c r="AE1641" s="7"/>
      <c r="AF1641" s="7"/>
      <c r="AG1641" s="7"/>
      <c r="AH1641" s="7"/>
      <c r="AI1641" s="7"/>
      <c r="AJ1641" s="7"/>
      <c r="AK1641" s="7"/>
      <c r="AL1641" s="9"/>
      <c r="AM1641" s="7"/>
      <c r="AN1641" s="7"/>
      <c r="AO1641" s="15" t="s">
        <v>2796</v>
      </c>
    </row>
    <row r="1642" spans="1:41" s="11" customFormat="1" ht="24" x14ac:dyDescent="0.25">
      <c r="A1642" s="2">
        <v>1641</v>
      </c>
      <c r="B1642" s="7" t="s">
        <v>74</v>
      </c>
      <c r="C1642" s="7" t="s">
        <v>577</v>
      </c>
      <c r="D1642" s="7">
        <v>559</v>
      </c>
      <c r="E1642" s="7">
        <v>559</v>
      </c>
      <c r="F1642" s="8">
        <v>39</v>
      </c>
      <c r="G1642" s="8">
        <v>40</v>
      </c>
      <c r="H1642" s="7" t="s">
        <v>1453</v>
      </c>
      <c r="I1642" s="7">
        <v>40</v>
      </c>
      <c r="J1642" s="7" t="s">
        <v>639</v>
      </c>
      <c r="K1642" s="7"/>
      <c r="L1642" s="7" t="s">
        <v>38</v>
      </c>
      <c r="M1642" s="7">
        <f t="shared" si="125"/>
        <v>0</v>
      </c>
      <c r="N1642" s="9"/>
      <c r="O1642" s="7"/>
      <c r="P1642" s="9"/>
      <c r="Q1642" s="7"/>
      <c r="R1642" s="7"/>
      <c r="S1642" s="7"/>
      <c r="T1642" s="7"/>
      <c r="U1642" s="7"/>
      <c r="V1642" s="7"/>
      <c r="W1642" s="7"/>
      <c r="X1642" s="7"/>
      <c r="Y1642" s="7"/>
      <c r="Z1642" s="7"/>
      <c r="AA1642" s="7"/>
      <c r="AB1642" s="7">
        <v>0.33333333333333298</v>
      </c>
      <c r="AC1642" s="7">
        <f t="shared" si="126"/>
        <v>0</v>
      </c>
      <c r="AD1642" s="7"/>
      <c r="AE1642" s="7"/>
      <c r="AF1642" s="7"/>
      <c r="AG1642" s="7"/>
      <c r="AH1642" s="7"/>
      <c r="AI1642" s="7"/>
      <c r="AJ1642" s="7"/>
      <c r="AK1642" s="7"/>
      <c r="AL1642" s="9"/>
      <c r="AM1642" s="7"/>
      <c r="AN1642" s="7"/>
      <c r="AO1642" s="15" t="s">
        <v>2797</v>
      </c>
    </row>
    <row r="1643" spans="1:41" s="11" customFormat="1" x14ac:dyDescent="0.25">
      <c r="A1643" s="2">
        <v>1642</v>
      </c>
      <c r="B1643" s="7" t="s">
        <v>72</v>
      </c>
      <c r="C1643" s="7" t="s">
        <v>577</v>
      </c>
      <c r="D1643" s="7">
        <v>149</v>
      </c>
      <c r="E1643" s="7">
        <v>149</v>
      </c>
      <c r="F1643" s="8">
        <v>4</v>
      </c>
      <c r="G1643" s="8">
        <v>4</v>
      </c>
      <c r="H1643" s="7" t="s">
        <v>91</v>
      </c>
      <c r="I1643" s="7">
        <v>4</v>
      </c>
      <c r="J1643" s="7" t="s">
        <v>639</v>
      </c>
      <c r="K1643" s="7"/>
      <c r="L1643" s="7" t="s">
        <v>38</v>
      </c>
      <c r="M1643" s="7">
        <f t="shared" si="125"/>
        <v>0</v>
      </c>
      <c r="N1643" s="9"/>
      <c r="O1643" s="7"/>
      <c r="P1643" s="9"/>
      <c r="Q1643" s="7"/>
      <c r="R1643" s="7"/>
      <c r="S1643" s="7"/>
      <c r="T1643" s="7"/>
      <c r="U1643" s="7"/>
      <c r="V1643" s="7"/>
      <c r="W1643" s="7"/>
      <c r="X1643" s="7"/>
      <c r="Y1643" s="7"/>
      <c r="Z1643" s="7"/>
      <c r="AA1643" s="7"/>
      <c r="AB1643" s="7">
        <v>0.33333333333333298</v>
      </c>
      <c r="AC1643" s="7">
        <f t="shared" si="126"/>
        <v>0</v>
      </c>
      <c r="AD1643" s="7"/>
      <c r="AE1643" s="7"/>
      <c r="AF1643" s="7"/>
      <c r="AG1643" s="7"/>
      <c r="AH1643" s="7"/>
      <c r="AI1643" s="7"/>
      <c r="AJ1643" s="7"/>
      <c r="AK1643" s="7"/>
      <c r="AL1643" s="9"/>
      <c r="AM1643" s="7"/>
      <c r="AN1643" s="7"/>
      <c r="AO1643" s="15" t="s">
        <v>2798</v>
      </c>
    </row>
    <row r="1644" spans="1:41" s="11" customFormat="1" x14ac:dyDescent="0.25">
      <c r="A1644" s="2">
        <v>1643</v>
      </c>
      <c r="B1644" s="7" t="s">
        <v>57</v>
      </c>
      <c r="C1644" s="7" t="s">
        <v>577</v>
      </c>
      <c r="D1644" s="7">
        <v>162</v>
      </c>
      <c r="E1644" s="7">
        <v>162</v>
      </c>
      <c r="F1644" s="8">
        <v>8</v>
      </c>
      <c r="G1644" s="8">
        <v>8</v>
      </c>
      <c r="H1644" s="7" t="s">
        <v>258</v>
      </c>
      <c r="I1644" s="7">
        <v>8</v>
      </c>
      <c r="J1644" s="7" t="s">
        <v>639</v>
      </c>
      <c r="K1644" s="7"/>
      <c r="L1644" s="7" t="s">
        <v>38</v>
      </c>
      <c r="M1644" s="7">
        <f t="shared" si="125"/>
        <v>0</v>
      </c>
      <c r="N1644" s="9"/>
      <c r="O1644" s="7"/>
      <c r="P1644" s="9"/>
      <c r="Q1644" s="7"/>
      <c r="R1644" s="7"/>
      <c r="S1644" s="7"/>
      <c r="T1644" s="7"/>
      <c r="U1644" s="7"/>
      <c r="V1644" s="7"/>
      <c r="W1644" s="7"/>
      <c r="X1644" s="7"/>
      <c r="Y1644" s="7"/>
      <c r="Z1644" s="7"/>
      <c r="AA1644" s="7"/>
      <c r="AB1644" s="7">
        <v>0.33333333333333298</v>
      </c>
      <c r="AC1644" s="7">
        <f t="shared" si="126"/>
        <v>0</v>
      </c>
      <c r="AD1644" s="7"/>
      <c r="AE1644" s="7"/>
      <c r="AF1644" s="7"/>
      <c r="AG1644" s="7"/>
      <c r="AH1644" s="7"/>
      <c r="AI1644" s="7"/>
      <c r="AJ1644" s="7"/>
      <c r="AK1644" s="7"/>
      <c r="AL1644" s="9"/>
      <c r="AM1644" s="7"/>
      <c r="AN1644" s="7"/>
      <c r="AO1644" s="15" t="s">
        <v>2799</v>
      </c>
    </row>
    <row r="1645" spans="1:41" s="11" customFormat="1" x14ac:dyDescent="0.25">
      <c r="A1645" s="2">
        <v>1644</v>
      </c>
      <c r="B1645" s="7" t="s">
        <v>75</v>
      </c>
      <c r="C1645" s="7" t="s">
        <v>577</v>
      </c>
      <c r="D1645" s="7">
        <v>133</v>
      </c>
      <c r="E1645" s="7">
        <v>133</v>
      </c>
      <c r="F1645" s="8">
        <v>9</v>
      </c>
      <c r="G1645" s="8">
        <v>9</v>
      </c>
      <c r="H1645" s="7" t="s">
        <v>1153</v>
      </c>
      <c r="I1645" s="7">
        <v>9</v>
      </c>
      <c r="J1645" s="7" t="s">
        <v>639</v>
      </c>
      <c r="K1645" s="7"/>
      <c r="L1645" s="7" t="s">
        <v>38</v>
      </c>
      <c r="M1645" s="7">
        <f t="shared" si="125"/>
        <v>0</v>
      </c>
      <c r="N1645" s="9"/>
      <c r="O1645" s="7"/>
      <c r="P1645" s="9"/>
      <c r="Q1645" s="7"/>
      <c r="R1645" s="7"/>
      <c r="S1645" s="7"/>
      <c r="T1645" s="7"/>
      <c r="U1645" s="7"/>
      <c r="V1645" s="7"/>
      <c r="W1645" s="7"/>
      <c r="X1645" s="7"/>
      <c r="Y1645" s="7"/>
      <c r="Z1645" s="7"/>
      <c r="AA1645" s="7"/>
      <c r="AB1645" s="7">
        <v>0.33333333333333298</v>
      </c>
      <c r="AC1645" s="7">
        <f t="shared" si="126"/>
        <v>0</v>
      </c>
      <c r="AD1645" s="7"/>
      <c r="AE1645" s="7"/>
      <c r="AF1645" s="7"/>
      <c r="AG1645" s="7"/>
      <c r="AH1645" s="7"/>
      <c r="AI1645" s="7"/>
      <c r="AJ1645" s="7"/>
      <c r="AK1645" s="7"/>
      <c r="AL1645" s="9"/>
      <c r="AM1645" s="7"/>
      <c r="AN1645" s="7"/>
      <c r="AO1645" s="15" t="s">
        <v>2800</v>
      </c>
    </row>
    <row r="1646" spans="1:41" s="11" customFormat="1" x14ac:dyDescent="0.25">
      <c r="A1646" s="2">
        <v>1645</v>
      </c>
      <c r="B1646" s="7" t="s">
        <v>69</v>
      </c>
      <c r="C1646" s="7" t="s">
        <v>577</v>
      </c>
      <c r="D1646" s="7">
        <v>350</v>
      </c>
      <c r="E1646" s="7">
        <v>350</v>
      </c>
      <c r="F1646" s="8">
        <v>13</v>
      </c>
      <c r="G1646" s="8">
        <v>16</v>
      </c>
      <c r="H1646" s="7" t="s">
        <v>1454</v>
      </c>
      <c r="I1646" s="7">
        <v>16</v>
      </c>
      <c r="J1646" s="7" t="s">
        <v>639</v>
      </c>
      <c r="K1646" s="7"/>
      <c r="L1646" s="7" t="s">
        <v>38</v>
      </c>
      <c r="M1646" s="7">
        <f t="shared" si="125"/>
        <v>0</v>
      </c>
      <c r="N1646" s="9"/>
      <c r="O1646" s="7"/>
      <c r="P1646" s="9"/>
      <c r="Q1646" s="7"/>
      <c r="R1646" s="7"/>
      <c r="S1646" s="7"/>
      <c r="T1646" s="7"/>
      <c r="U1646" s="7"/>
      <c r="V1646" s="7"/>
      <c r="W1646" s="7"/>
      <c r="X1646" s="7"/>
      <c r="Y1646" s="7"/>
      <c r="Z1646" s="7"/>
      <c r="AA1646" s="7"/>
      <c r="AB1646" s="7">
        <v>0.33333333333333298</v>
      </c>
      <c r="AC1646" s="7">
        <f t="shared" si="126"/>
        <v>0</v>
      </c>
      <c r="AD1646" s="7"/>
      <c r="AE1646" s="7"/>
      <c r="AF1646" s="7"/>
      <c r="AG1646" s="7"/>
      <c r="AH1646" s="7"/>
      <c r="AI1646" s="7"/>
      <c r="AJ1646" s="7"/>
      <c r="AK1646" s="7"/>
      <c r="AL1646" s="9"/>
      <c r="AM1646" s="7"/>
      <c r="AN1646" s="7"/>
      <c r="AO1646" s="15" t="s">
        <v>2801</v>
      </c>
    </row>
    <row r="1647" spans="1:41" s="11" customFormat="1" x14ac:dyDescent="0.25">
      <c r="A1647" s="2">
        <v>1646</v>
      </c>
      <c r="B1647" s="7" t="s">
        <v>49</v>
      </c>
      <c r="C1647" s="7" t="s">
        <v>577</v>
      </c>
      <c r="D1647" s="7">
        <f>359+37</f>
        <v>396</v>
      </c>
      <c r="E1647" s="7">
        <f>359+37</f>
        <v>396</v>
      </c>
      <c r="F1647" s="8">
        <v>9</v>
      </c>
      <c r="G1647" s="8">
        <v>10</v>
      </c>
      <c r="H1647" s="7" t="s">
        <v>822</v>
      </c>
      <c r="I1647" s="7">
        <v>10</v>
      </c>
      <c r="J1647" s="7" t="s">
        <v>353</v>
      </c>
      <c r="K1647" s="7"/>
      <c r="L1647" s="7" t="s">
        <v>38</v>
      </c>
      <c r="M1647" s="7">
        <f t="shared" si="125"/>
        <v>0</v>
      </c>
      <c r="N1647" s="9"/>
      <c r="O1647" s="7"/>
      <c r="P1647" s="9"/>
      <c r="Q1647" s="7"/>
      <c r="R1647" s="7"/>
      <c r="S1647" s="7"/>
      <c r="T1647" s="7"/>
      <c r="U1647" s="7"/>
      <c r="V1647" s="7"/>
      <c r="W1647" s="7"/>
      <c r="X1647" s="7"/>
      <c r="Y1647" s="7"/>
      <c r="Z1647" s="7"/>
      <c r="AA1647" s="7"/>
      <c r="AB1647" s="7">
        <v>0.33333333333333298</v>
      </c>
      <c r="AC1647" s="7">
        <f t="shared" si="126"/>
        <v>0</v>
      </c>
      <c r="AD1647" s="7"/>
      <c r="AE1647" s="7"/>
      <c r="AF1647" s="7"/>
      <c r="AG1647" s="7"/>
      <c r="AH1647" s="7"/>
      <c r="AI1647" s="7"/>
      <c r="AJ1647" s="7"/>
      <c r="AK1647" s="7"/>
      <c r="AL1647" s="9"/>
      <c r="AM1647" s="7"/>
      <c r="AN1647" s="7"/>
      <c r="AO1647" s="15"/>
    </row>
    <row r="1648" spans="1:41" s="11" customFormat="1" x14ac:dyDescent="0.25">
      <c r="A1648" s="2">
        <v>1647</v>
      </c>
      <c r="B1648" s="7" t="s">
        <v>103</v>
      </c>
      <c r="C1648" s="7" t="s">
        <v>100</v>
      </c>
      <c r="D1648" s="7">
        <v>14</v>
      </c>
      <c r="E1648" s="7">
        <v>14</v>
      </c>
      <c r="F1648" s="8">
        <v>1</v>
      </c>
      <c r="G1648" s="8">
        <v>1</v>
      </c>
      <c r="H1648" s="7">
        <v>1</v>
      </c>
      <c r="I1648" s="7">
        <v>1</v>
      </c>
      <c r="J1648" s="7" t="s">
        <v>353</v>
      </c>
      <c r="K1648" s="7"/>
      <c r="L1648" s="7" t="s">
        <v>38</v>
      </c>
      <c r="M1648" s="7">
        <f t="shared" si="125"/>
        <v>0</v>
      </c>
      <c r="N1648" s="9"/>
      <c r="O1648" s="7"/>
      <c r="P1648" s="9"/>
      <c r="Q1648" s="7"/>
      <c r="R1648" s="7"/>
      <c r="S1648" s="7"/>
      <c r="T1648" s="7"/>
      <c r="U1648" s="7"/>
      <c r="V1648" s="7"/>
      <c r="W1648" s="7"/>
      <c r="X1648" s="7"/>
      <c r="Y1648" s="7"/>
      <c r="Z1648" s="7"/>
      <c r="AA1648" s="7"/>
      <c r="AB1648" s="7">
        <v>0.33333333333333298</v>
      </c>
      <c r="AC1648" s="7">
        <f t="shared" si="126"/>
        <v>0</v>
      </c>
      <c r="AD1648" s="7"/>
      <c r="AE1648" s="7"/>
      <c r="AF1648" s="7"/>
      <c r="AG1648" s="7"/>
      <c r="AH1648" s="7"/>
      <c r="AI1648" s="7"/>
      <c r="AJ1648" s="7"/>
      <c r="AK1648" s="7"/>
      <c r="AL1648" s="9"/>
      <c r="AM1648" s="7"/>
      <c r="AN1648" s="7"/>
      <c r="AO1648" s="12"/>
    </row>
    <row r="1649" spans="1:41" s="11" customFormat="1" x14ac:dyDescent="0.25">
      <c r="A1649" s="2">
        <v>1648</v>
      </c>
      <c r="B1649" s="7" t="s">
        <v>43</v>
      </c>
      <c r="C1649" s="7" t="s">
        <v>89</v>
      </c>
      <c r="D1649" s="7">
        <v>23</v>
      </c>
      <c r="E1649" s="7">
        <v>23</v>
      </c>
      <c r="F1649" s="8">
        <v>2</v>
      </c>
      <c r="G1649" s="8">
        <v>2</v>
      </c>
      <c r="H1649" s="7" t="s">
        <v>87</v>
      </c>
      <c r="I1649" s="7">
        <v>2</v>
      </c>
      <c r="J1649" s="7" t="s">
        <v>353</v>
      </c>
      <c r="K1649" s="7"/>
      <c r="L1649" s="7" t="s">
        <v>38</v>
      </c>
      <c r="M1649" s="7">
        <f t="shared" si="125"/>
        <v>0</v>
      </c>
      <c r="N1649" s="9"/>
      <c r="O1649" s="7"/>
      <c r="P1649" s="9"/>
      <c r="Q1649" s="7"/>
      <c r="R1649" s="7"/>
      <c r="S1649" s="7"/>
      <c r="T1649" s="7"/>
      <c r="U1649" s="7"/>
      <c r="V1649" s="7"/>
      <c r="W1649" s="7"/>
      <c r="X1649" s="7"/>
      <c r="Y1649" s="7"/>
      <c r="Z1649" s="7"/>
      <c r="AA1649" s="7"/>
      <c r="AB1649" s="7">
        <v>0.33333333333333298</v>
      </c>
      <c r="AC1649" s="7">
        <f t="shared" si="126"/>
        <v>0</v>
      </c>
      <c r="AD1649" s="7"/>
      <c r="AE1649" s="7"/>
      <c r="AF1649" s="7"/>
      <c r="AG1649" s="7"/>
      <c r="AH1649" s="7"/>
      <c r="AI1649" s="7"/>
      <c r="AJ1649" s="7"/>
      <c r="AK1649" s="7"/>
      <c r="AL1649" s="9"/>
      <c r="AM1649" s="7"/>
      <c r="AN1649" s="7"/>
      <c r="AO1649" s="12"/>
    </row>
    <row r="1650" spans="1:41" s="11" customFormat="1" x14ac:dyDescent="0.25">
      <c r="A1650" s="2">
        <v>1649</v>
      </c>
      <c r="B1650" s="7" t="s">
        <v>68</v>
      </c>
      <c r="C1650" s="7" t="s">
        <v>100</v>
      </c>
      <c r="D1650" s="7">
        <v>14</v>
      </c>
      <c r="E1650" s="7">
        <v>14</v>
      </c>
      <c r="F1650" s="8">
        <v>1</v>
      </c>
      <c r="G1650" s="8">
        <v>1</v>
      </c>
      <c r="H1650" s="7">
        <v>1</v>
      </c>
      <c r="I1650" s="7">
        <v>1</v>
      </c>
      <c r="J1650" s="7" t="s">
        <v>353</v>
      </c>
      <c r="K1650" s="7"/>
      <c r="L1650" s="7" t="s">
        <v>38</v>
      </c>
      <c r="M1650" s="7">
        <f t="shared" si="125"/>
        <v>0</v>
      </c>
      <c r="N1650" s="9"/>
      <c r="O1650" s="7"/>
      <c r="P1650" s="9"/>
      <c r="Q1650" s="7"/>
      <c r="R1650" s="7"/>
      <c r="S1650" s="7"/>
      <c r="T1650" s="7"/>
      <c r="U1650" s="7"/>
      <c r="V1650" s="7"/>
      <c r="W1650" s="7"/>
      <c r="X1650" s="7"/>
      <c r="Y1650" s="7"/>
      <c r="Z1650" s="7"/>
      <c r="AA1650" s="7"/>
      <c r="AB1650" s="7">
        <v>0.33333333333333298</v>
      </c>
      <c r="AC1650" s="7">
        <f t="shared" si="126"/>
        <v>0</v>
      </c>
      <c r="AD1650" s="7"/>
      <c r="AE1650" s="7"/>
      <c r="AF1650" s="7"/>
      <c r="AG1650" s="7"/>
      <c r="AH1650" s="7"/>
      <c r="AI1650" s="7"/>
      <c r="AJ1650" s="7"/>
      <c r="AK1650" s="7"/>
      <c r="AL1650" s="9"/>
      <c r="AM1650" s="7"/>
      <c r="AN1650" s="7"/>
      <c r="AO1650" s="12"/>
    </row>
    <row r="1651" spans="1:41" s="11" customFormat="1" x14ac:dyDescent="0.25">
      <c r="A1651" s="2">
        <v>1650</v>
      </c>
      <c r="B1651" s="7" t="s">
        <v>74</v>
      </c>
      <c r="C1651" s="7" t="s">
        <v>577</v>
      </c>
      <c r="D1651" s="7">
        <v>137</v>
      </c>
      <c r="E1651" s="7">
        <v>137</v>
      </c>
      <c r="F1651" s="8">
        <v>7</v>
      </c>
      <c r="G1651" s="8">
        <v>7</v>
      </c>
      <c r="H1651" s="7" t="s">
        <v>122</v>
      </c>
      <c r="I1651" s="7">
        <v>7</v>
      </c>
      <c r="J1651" s="7" t="s">
        <v>353</v>
      </c>
      <c r="K1651" s="7"/>
      <c r="L1651" s="7" t="s">
        <v>38</v>
      </c>
      <c r="M1651" s="7">
        <f t="shared" si="125"/>
        <v>0</v>
      </c>
      <c r="N1651" s="9"/>
      <c r="O1651" s="7"/>
      <c r="P1651" s="9"/>
      <c r="Q1651" s="7"/>
      <c r="R1651" s="7"/>
      <c r="S1651" s="7"/>
      <c r="T1651" s="7"/>
      <c r="U1651" s="7"/>
      <c r="V1651" s="7"/>
      <c r="W1651" s="7"/>
      <c r="X1651" s="7"/>
      <c r="Y1651" s="7"/>
      <c r="Z1651" s="7"/>
      <c r="AA1651" s="7"/>
      <c r="AB1651" s="7">
        <v>0.33333333333333298</v>
      </c>
      <c r="AC1651" s="7">
        <f t="shared" si="126"/>
        <v>0</v>
      </c>
      <c r="AD1651" s="7"/>
      <c r="AE1651" s="7"/>
      <c r="AF1651" s="7"/>
      <c r="AG1651" s="7"/>
      <c r="AH1651" s="7"/>
      <c r="AI1651" s="7"/>
      <c r="AJ1651" s="7"/>
      <c r="AK1651" s="7"/>
      <c r="AL1651" s="9"/>
      <c r="AM1651" s="7"/>
      <c r="AN1651" s="7"/>
      <c r="AO1651" s="15" t="s">
        <v>2802</v>
      </c>
    </row>
    <row r="1652" spans="1:41" s="11" customFormat="1" x14ac:dyDescent="0.25">
      <c r="A1652" s="2">
        <v>1651</v>
      </c>
      <c r="B1652" s="7" t="s">
        <v>57</v>
      </c>
      <c r="C1652" s="7" t="s">
        <v>577</v>
      </c>
      <c r="D1652" s="7">
        <v>10</v>
      </c>
      <c r="E1652" s="7">
        <v>10</v>
      </c>
      <c r="F1652" s="8">
        <v>2</v>
      </c>
      <c r="G1652" s="8">
        <v>2</v>
      </c>
      <c r="H1652" s="7" t="s">
        <v>87</v>
      </c>
      <c r="I1652" s="7">
        <v>2</v>
      </c>
      <c r="J1652" s="7" t="s">
        <v>353</v>
      </c>
      <c r="K1652" s="7"/>
      <c r="L1652" s="7" t="s">
        <v>38</v>
      </c>
      <c r="M1652" s="7">
        <f t="shared" si="125"/>
        <v>0</v>
      </c>
      <c r="N1652" s="9"/>
      <c r="O1652" s="7"/>
      <c r="P1652" s="9"/>
      <c r="Q1652" s="7"/>
      <c r="R1652" s="7"/>
      <c r="S1652" s="7"/>
      <c r="T1652" s="7"/>
      <c r="U1652" s="7"/>
      <c r="V1652" s="7"/>
      <c r="W1652" s="7"/>
      <c r="X1652" s="7"/>
      <c r="Y1652" s="7"/>
      <c r="Z1652" s="7"/>
      <c r="AA1652" s="7"/>
      <c r="AB1652" s="7">
        <v>0.33333333333333298</v>
      </c>
      <c r="AC1652" s="7">
        <f t="shared" si="126"/>
        <v>0</v>
      </c>
      <c r="AD1652" s="7"/>
      <c r="AE1652" s="7"/>
      <c r="AF1652" s="7"/>
      <c r="AG1652" s="7"/>
      <c r="AH1652" s="7"/>
      <c r="AI1652" s="7"/>
      <c r="AJ1652" s="7"/>
      <c r="AK1652" s="7"/>
      <c r="AL1652" s="9"/>
      <c r="AM1652" s="7"/>
      <c r="AN1652" s="7"/>
      <c r="AO1652" s="12"/>
    </row>
    <row r="1653" spans="1:41" s="11" customFormat="1" x14ac:dyDescent="0.25">
      <c r="A1653" s="2">
        <v>1652</v>
      </c>
      <c r="B1653" s="7" t="s">
        <v>75</v>
      </c>
      <c r="C1653" s="7" t="s">
        <v>577</v>
      </c>
      <c r="D1653" s="7">
        <v>82</v>
      </c>
      <c r="E1653" s="7">
        <v>82</v>
      </c>
      <c r="F1653" s="8">
        <v>2</v>
      </c>
      <c r="G1653" s="8">
        <v>2</v>
      </c>
      <c r="H1653" s="7" t="s">
        <v>87</v>
      </c>
      <c r="I1653" s="7">
        <v>2</v>
      </c>
      <c r="J1653" s="7" t="s">
        <v>353</v>
      </c>
      <c r="K1653" s="7"/>
      <c r="L1653" s="7" t="s">
        <v>38</v>
      </c>
      <c r="M1653" s="7">
        <f t="shared" si="125"/>
        <v>0</v>
      </c>
      <c r="N1653" s="9"/>
      <c r="O1653" s="7"/>
      <c r="P1653" s="9"/>
      <c r="Q1653" s="7"/>
      <c r="R1653" s="7"/>
      <c r="S1653" s="7"/>
      <c r="T1653" s="7"/>
      <c r="U1653" s="7"/>
      <c r="V1653" s="7"/>
      <c r="W1653" s="7"/>
      <c r="X1653" s="7"/>
      <c r="Y1653" s="7"/>
      <c r="Z1653" s="7"/>
      <c r="AA1653" s="7"/>
      <c r="AB1653" s="7">
        <v>0.33333333333333298</v>
      </c>
      <c r="AC1653" s="7">
        <f t="shared" si="126"/>
        <v>0</v>
      </c>
      <c r="AD1653" s="7"/>
      <c r="AE1653" s="7"/>
      <c r="AF1653" s="7"/>
      <c r="AG1653" s="7"/>
      <c r="AH1653" s="7"/>
      <c r="AI1653" s="7"/>
      <c r="AJ1653" s="7"/>
      <c r="AK1653" s="7"/>
      <c r="AL1653" s="9"/>
      <c r="AM1653" s="7"/>
      <c r="AN1653" s="7"/>
      <c r="AO1653" s="12"/>
    </row>
    <row r="1654" spans="1:41" s="11" customFormat="1" x14ac:dyDescent="0.25">
      <c r="A1654" s="2">
        <v>1653</v>
      </c>
      <c r="B1654" s="7" t="s">
        <v>69</v>
      </c>
      <c r="C1654" s="7" t="s">
        <v>89</v>
      </c>
      <c r="D1654" s="7">
        <v>19</v>
      </c>
      <c r="E1654" s="7">
        <v>19</v>
      </c>
      <c r="F1654" s="8">
        <v>2</v>
      </c>
      <c r="G1654" s="8">
        <v>2</v>
      </c>
      <c r="H1654" s="7" t="s">
        <v>87</v>
      </c>
      <c r="I1654" s="7">
        <v>2</v>
      </c>
      <c r="J1654" s="7" t="s">
        <v>353</v>
      </c>
      <c r="K1654" s="7"/>
      <c r="L1654" s="7" t="s">
        <v>38</v>
      </c>
      <c r="M1654" s="7">
        <f t="shared" si="125"/>
        <v>0</v>
      </c>
      <c r="N1654" s="9"/>
      <c r="O1654" s="7"/>
      <c r="P1654" s="9"/>
      <c r="Q1654" s="7"/>
      <c r="R1654" s="7"/>
      <c r="S1654" s="7"/>
      <c r="T1654" s="7"/>
      <c r="U1654" s="7"/>
      <c r="V1654" s="7"/>
      <c r="W1654" s="7"/>
      <c r="X1654" s="7"/>
      <c r="Y1654" s="7"/>
      <c r="Z1654" s="7"/>
      <c r="AA1654" s="7"/>
      <c r="AB1654" s="7">
        <v>0.33333333333333298</v>
      </c>
      <c r="AC1654" s="7">
        <f t="shared" si="126"/>
        <v>0</v>
      </c>
      <c r="AD1654" s="7"/>
      <c r="AE1654" s="7"/>
      <c r="AF1654" s="7"/>
      <c r="AG1654" s="7"/>
      <c r="AH1654" s="7"/>
      <c r="AI1654" s="7"/>
      <c r="AJ1654" s="7"/>
      <c r="AK1654" s="7"/>
      <c r="AL1654" s="9"/>
      <c r="AM1654" s="7"/>
      <c r="AN1654" s="7"/>
      <c r="AO1654" s="12"/>
    </row>
    <row r="1655" spans="1:41" s="11" customFormat="1" x14ac:dyDescent="0.25">
      <c r="A1655" s="2">
        <v>1654</v>
      </c>
      <c r="B1655" s="7" t="s">
        <v>149</v>
      </c>
      <c r="C1655" s="7" t="s">
        <v>100</v>
      </c>
      <c r="D1655" s="7">
        <v>5</v>
      </c>
      <c r="E1655" s="7">
        <v>5</v>
      </c>
      <c r="F1655" s="8">
        <v>1</v>
      </c>
      <c r="G1655" s="8">
        <v>1</v>
      </c>
      <c r="H1655" s="7">
        <v>1</v>
      </c>
      <c r="I1655" s="7">
        <v>1</v>
      </c>
      <c r="J1655" s="7" t="s">
        <v>176</v>
      </c>
      <c r="K1655" s="7" t="s">
        <v>268</v>
      </c>
      <c r="L1655" s="7" t="s">
        <v>52</v>
      </c>
      <c r="M1655" s="7">
        <f t="shared" si="125"/>
        <v>1</v>
      </c>
      <c r="N1655" s="9"/>
      <c r="O1655" s="7"/>
      <c r="P1655" s="9"/>
      <c r="Q1655" s="7"/>
      <c r="R1655" s="7"/>
      <c r="S1655" s="7"/>
      <c r="T1655" s="7"/>
      <c r="U1655" s="7"/>
      <c r="V1655" s="7"/>
      <c r="W1655" s="7"/>
      <c r="X1655" s="7">
        <v>3</v>
      </c>
      <c r="Y1655" s="7"/>
      <c r="Z1655" s="7"/>
      <c r="AA1655" s="7"/>
      <c r="AB1655" s="7">
        <f>(U1655+X1655+Z1655)/3</f>
        <v>1</v>
      </c>
      <c r="AC1655" s="7">
        <f t="shared" si="126"/>
        <v>1</v>
      </c>
      <c r="AD1655" s="7"/>
      <c r="AE1655" s="7"/>
      <c r="AF1655" s="7"/>
      <c r="AG1655" s="7"/>
      <c r="AH1655" s="7"/>
      <c r="AI1655" s="7"/>
      <c r="AJ1655" s="7"/>
      <c r="AK1655" s="7"/>
      <c r="AL1655" s="9"/>
      <c r="AM1655" s="7" t="s">
        <v>71</v>
      </c>
      <c r="AN1655" s="7" t="s">
        <v>71</v>
      </c>
      <c r="AO1655" s="12"/>
    </row>
    <row r="1656" spans="1:41" s="11" customFormat="1" ht="24" x14ac:dyDescent="0.25">
      <c r="A1656" s="2">
        <v>1655</v>
      </c>
      <c r="B1656" s="7" t="s">
        <v>43</v>
      </c>
      <c r="C1656" s="7" t="s">
        <v>78</v>
      </c>
      <c r="D1656" s="7">
        <v>9</v>
      </c>
      <c r="E1656" s="7">
        <v>9</v>
      </c>
      <c r="F1656" s="8">
        <v>1</v>
      </c>
      <c r="G1656" s="8">
        <v>1</v>
      </c>
      <c r="H1656" s="7">
        <v>1</v>
      </c>
      <c r="I1656" s="7">
        <v>1</v>
      </c>
      <c r="J1656" s="7" t="s">
        <v>176</v>
      </c>
      <c r="K1656" s="7">
        <v>10</v>
      </c>
      <c r="L1656" s="7" t="s">
        <v>52</v>
      </c>
      <c r="M1656" s="7">
        <f t="shared" si="125"/>
        <v>1</v>
      </c>
      <c r="N1656" s="9" t="s">
        <v>109</v>
      </c>
      <c r="O1656" s="7">
        <v>0</v>
      </c>
      <c r="P1656" s="9" t="s">
        <v>63</v>
      </c>
      <c r="Q1656" s="7" t="s">
        <v>38</v>
      </c>
      <c r="R1656" s="7" t="s">
        <v>52</v>
      </c>
      <c r="S1656" s="10" t="s">
        <v>2295</v>
      </c>
      <c r="T1656" s="7" t="s">
        <v>92</v>
      </c>
      <c r="U1656" s="7">
        <v>3</v>
      </c>
      <c r="V1656" s="7" t="s">
        <v>1455</v>
      </c>
      <c r="W1656" s="7" t="s">
        <v>239</v>
      </c>
      <c r="X1656" s="7"/>
      <c r="Y1656" s="7"/>
      <c r="Z1656" s="7"/>
      <c r="AA1656" s="7"/>
      <c r="AB1656" s="7">
        <f>(U1656+X1656+Z1656)/3</f>
        <v>1</v>
      </c>
      <c r="AC1656" s="7">
        <f t="shared" si="126"/>
        <v>1</v>
      </c>
      <c r="AD1656" s="7"/>
      <c r="AE1656" s="7"/>
      <c r="AF1656" s="7"/>
      <c r="AG1656" s="7"/>
      <c r="AH1656" s="7"/>
      <c r="AI1656" s="7"/>
      <c r="AJ1656" s="7"/>
      <c r="AK1656" s="7"/>
      <c r="AL1656" s="9"/>
      <c r="AM1656" s="7" t="s">
        <v>215</v>
      </c>
      <c r="AN1656" s="7" t="s">
        <v>2850</v>
      </c>
      <c r="AO1656" s="12"/>
    </row>
    <row r="1657" spans="1:41" s="11" customFormat="1" x14ac:dyDescent="0.25">
      <c r="A1657" s="2">
        <v>1656</v>
      </c>
      <c r="B1657" s="7" t="s">
        <v>49</v>
      </c>
      <c r="C1657" s="7" t="s">
        <v>100</v>
      </c>
      <c r="D1657" s="7">
        <v>16</v>
      </c>
      <c r="E1657" s="7">
        <v>16</v>
      </c>
      <c r="F1657" s="8">
        <v>1</v>
      </c>
      <c r="G1657" s="8">
        <v>1</v>
      </c>
      <c r="H1657" s="7">
        <v>1</v>
      </c>
      <c r="I1657" s="7">
        <v>1</v>
      </c>
      <c r="J1657" s="7" t="s">
        <v>353</v>
      </c>
      <c r="K1657" s="7"/>
      <c r="L1657" s="7" t="s">
        <v>38</v>
      </c>
      <c r="M1657" s="7">
        <f t="shared" si="125"/>
        <v>0</v>
      </c>
      <c r="N1657" s="9"/>
      <c r="O1657" s="7"/>
      <c r="P1657" s="9"/>
      <c r="Q1657" s="7"/>
      <c r="R1657" s="7"/>
      <c r="S1657" s="7"/>
      <c r="T1657" s="7"/>
      <c r="U1657" s="7"/>
      <c r="V1657" s="7"/>
      <c r="W1657" s="7"/>
      <c r="X1657" s="7"/>
      <c r="Y1657" s="7"/>
      <c r="Z1657" s="7"/>
      <c r="AA1657" s="7"/>
      <c r="AB1657" s="7">
        <v>0.33333333333333298</v>
      </c>
      <c r="AC1657" s="7">
        <f t="shared" si="126"/>
        <v>0</v>
      </c>
      <c r="AD1657" s="7"/>
      <c r="AE1657" s="7"/>
      <c r="AF1657" s="7"/>
      <c r="AG1657" s="7"/>
      <c r="AH1657" s="7"/>
      <c r="AI1657" s="7"/>
      <c r="AJ1657" s="7"/>
      <c r="AK1657" s="7"/>
      <c r="AL1657" s="9"/>
      <c r="AM1657" s="7" t="s">
        <v>71</v>
      </c>
      <c r="AN1657" s="7" t="s">
        <v>71</v>
      </c>
      <c r="AO1657" s="12"/>
    </row>
    <row r="1658" spans="1:41" s="11" customFormat="1" x14ac:dyDescent="0.25">
      <c r="A1658" s="2">
        <v>1657</v>
      </c>
      <c r="B1658" s="7" t="s">
        <v>49</v>
      </c>
      <c r="C1658" s="7" t="s">
        <v>89</v>
      </c>
      <c r="D1658" s="7">
        <v>19</v>
      </c>
      <c r="E1658" s="7">
        <v>19</v>
      </c>
      <c r="F1658" s="8">
        <v>3</v>
      </c>
      <c r="G1658" s="8">
        <v>5</v>
      </c>
      <c r="H1658" s="7" t="s">
        <v>171</v>
      </c>
      <c r="I1658" s="7">
        <v>5</v>
      </c>
      <c r="J1658" s="7" t="s">
        <v>639</v>
      </c>
      <c r="K1658" s="7"/>
      <c r="L1658" s="7" t="s">
        <v>38</v>
      </c>
      <c r="M1658" s="7">
        <f t="shared" si="125"/>
        <v>0</v>
      </c>
      <c r="N1658" s="9"/>
      <c r="O1658" s="7"/>
      <c r="P1658" s="9"/>
      <c r="Q1658" s="7"/>
      <c r="R1658" s="7"/>
      <c r="S1658" s="7"/>
      <c r="T1658" s="7"/>
      <c r="U1658" s="7"/>
      <c r="V1658" s="7"/>
      <c r="W1658" s="7"/>
      <c r="X1658" s="7"/>
      <c r="Y1658" s="7"/>
      <c r="Z1658" s="7"/>
      <c r="AA1658" s="7"/>
      <c r="AB1658" s="7">
        <v>0.33333333333333298</v>
      </c>
      <c r="AC1658" s="7">
        <f t="shared" si="126"/>
        <v>0</v>
      </c>
      <c r="AD1658" s="7"/>
      <c r="AE1658" s="7"/>
      <c r="AF1658" s="7"/>
      <c r="AG1658" s="7"/>
      <c r="AH1658" s="7"/>
      <c r="AI1658" s="7"/>
      <c r="AJ1658" s="7"/>
      <c r="AK1658" s="7"/>
      <c r="AL1658" s="9"/>
      <c r="AM1658" s="7"/>
      <c r="AN1658" s="7"/>
      <c r="AO1658" s="15" t="s">
        <v>2803</v>
      </c>
    </row>
    <row r="1659" spans="1:41" s="11" customFormat="1" x14ac:dyDescent="0.25">
      <c r="A1659" s="2">
        <v>1658</v>
      </c>
      <c r="B1659" s="7" t="s">
        <v>73</v>
      </c>
      <c r="C1659" s="7" t="s">
        <v>89</v>
      </c>
      <c r="D1659" s="7">
        <v>14</v>
      </c>
      <c r="E1659" s="7">
        <v>14</v>
      </c>
      <c r="F1659" s="8">
        <v>2</v>
      </c>
      <c r="G1659" s="8">
        <v>2</v>
      </c>
      <c r="H1659" s="7" t="s">
        <v>87</v>
      </c>
      <c r="I1659" s="7">
        <v>2</v>
      </c>
      <c r="J1659" s="7" t="s">
        <v>639</v>
      </c>
      <c r="K1659" s="7"/>
      <c r="L1659" s="7" t="s">
        <v>38</v>
      </c>
      <c r="M1659" s="7">
        <f t="shared" si="125"/>
        <v>0</v>
      </c>
      <c r="N1659" s="9"/>
      <c r="O1659" s="7"/>
      <c r="P1659" s="9"/>
      <c r="Q1659" s="7"/>
      <c r="R1659" s="7"/>
      <c r="S1659" s="7"/>
      <c r="T1659" s="7"/>
      <c r="U1659" s="7"/>
      <c r="V1659" s="7"/>
      <c r="W1659" s="7"/>
      <c r="X1659" s="7"/>
      <c r="Y1659" s="7"/>
      <c r="Z1659" s="7"/>
      <c r="AA1659" s="7"/>
      <c r="AB1659" s="7">
        <v>0.33333333333333298</v>
      </c>
      <c r="AC1659" s="7">
        <f t="shared" si="126"/>
        <v>0</v>
      </c>
      <c r="AD1659" s="7"/>
      <c r="AE1659" s="7"/>
      <c r="AF1659" s="7"/>
      <c r="AG1659" s="7"/>
      <c r="AH1659" s="7"/>
      <c r="AI1659" s="7"/>
      <c r="AJ1659" s="7"/>
      <c r="AK1659" s="7"/>
      <c r="AL1659" s="9"/>
      <c r="AM1659" s="7"/>
      <c r="AN1659" s="7"/>
      <c r="AO1659" s="15" t="s">
        <v>2804</v>
      </c>
    </row>
    <row r="1660" spans="1:41" s="11" customFormat="1" x14ac:dyDescent="0.25">
      <c r="A1660" s="2">
        <v>1659</v>
      </c>
      <c r="B1660" s="7" t="s">
        <v>61</v>
      </c>
      <c r="C1660" s="7" t="s">
        <v>100</v>
      </c>
      <c r="D1660" s="7">
        <v>9</v>
      </c>
      <c r="E1660" s="7">
        <v>9</v>
      </c>
      <c r="F1660" s="8">
        <v>1</v>
      </c>
      <c r="G1660" s="8">
        <v>1</v>
      </c>
      <c r="H1660" s="7">
        <v>1</v>
      </c>
      <c r="I1660" s="7">
        <v>1</v>
      </c>
      <c r="J1660" s="7" t="s">
        <v>353</v>
      </c>
      <c r="K1660" s="7"/>
      <c r="L1660" s="7" t="s">
        <v>38</v>
      </c>
      <c r="M1660" s="7">
        <f t="shared" si="125"/>
        <v>0</v>
      </c>
      <c r="N1660" s="9"/>
      <c r="O1660" s="7"/>
      <c r="P1660" s="9"/>
      <c r="Q1660" s="7"/>
      <c r="R1660" s="7"/>
      <c r="S1660" s="7"/>
      <c r="T1660" s="7"/>
      <c r="U1660" s="7"/>
      <c r="V1660" s="7"/>
      <c r="W1660" s="7"/>
      <c r="X1660" s="7"/>
      <c r="Y1660" s="7"/>
      <c r="Z1660" s="7"/>
      <c r="AA1660" s="7"/>
      <c r="AB1660" s="7">
        <v>0.33333333333333298</v>
      </c>
      <c r="AC1660" s="7">
        <f t="shared" si="126"/>
        <v>0</v>
      </c>
      <c r="AD1660" s="7"/>
      <c r="AE1660" s="7"/>
      <c r="AF1660" s="7"/>
      <c r="AG1660" s="7"/>
      <c r="AH1660" s="7"/>
      <c r="AI1660" s="7"/>
      <c r="AJ1660" s="7"/>
      <c r="AK1660" s="7"/>
      <c r="AL1660" s="9"/>
      <c r="AM1660" s="7"/>
      <c r="AN1660" s="7"/>
      <c r="AO1660" s="12"/>
    </row>
    <row r="1661" spans="1:41" s="11" customFormat="1" x14ac:dyDescent="0.25">
      <c r="A1661" s="2">
        <v>1660</v>
      </c>
      <c r="B1661" s="7" t="s">
        <v>149</v>
      </c>
      <c r="C1661" s="7" t="s">
        <v>89</v>
      </c>
      <c r="D1661" s="7">
        <v>159</v>
      </c>
      <c r="E1661" s="7">
        <v>159</v>
      </c>
      <c r="F1661" s="8">
        <v>7</v>
      </c>
      <c r="G1661" s="8">
        <v>7</v>
      </c>
      <c r="H1661" s="7" t="s">
        <v>122</v>
      </c>
      <c r="I1661" s="7">
        <v>7</v>
      </c>
      <c r="J1661" s="7" t="s">
        <v>639</v>
      </c>
      <c r="K1661" s="7"/>
      <c r="L1661" s="7" t="s">
        <v>38</v>
      </c>
      <c r="M1661" s="7">
        <f t="shared" si="125"/>
        <v>0</v>
      </c>
      <c r="N1661" s="9"/>
      <c r="O1661" s="7"/>
      <c r="P1661" s="9"/>
      <c r="Q1661" s="7"/>
      <c r="R1661" s="7"/>
      <c r="S1661" s="7"/>
      <c r="T1661" s="7"/>
      <c r="U1661" s="7"/>
      <c r="V1661" s="7"/>
      <c r="W1661" s="7"/>
      <c r="X1661" s="7"/>
      <c r="Y1661" s="7"/>
      <c r="Z1661" s="7"/>
      <c r="AA1661" s="7"/>
      <c r="AB1661" s="7">
        <v>0.33333333333333298</v>
      </c>
      <c r="AC1661" s="7">
        <f t="shared" si="126"/>
        <v>0</v>
      </c>
      <c r="AD1661" s="7"/>
      <c r="AE1661" s="7"/>
      <c r="AF1661" s="7"/>
      <c r="AG1661" s="7"/>
      <c r="AH1661" s="7"/>
      <c r="AI1661" s="7"/>
      <c r="AJ1661" s="7"/>
      <c r="AK1661" s="7"/>
      <c r="AL1661" s="9"/>
      <c r="AM1661" s="7"/>
      <c r="AN1661" s="7"/>
      <c r="AO1661" s="15" t="s">
        <v>2805</v>
      </c>
    </row>
    <row r="1662" spans="1:41" s="11" customFormat="1" x14ac:dyDescent="0.25">
      <c r="A1662" s="2">
        <v>1661</v>
      </c>
      <c r="B1662" s="7" t="s">
        <v>149</v>
      </c>
      <c r="C1662" s="7" t="s">
        <v>1456</v>
      </c>
      <c r="D1662" s="7">
        <v>138</v>
      </c>
      <c r="E1662" s="7">
        <v>138</v>
      </c>
      <c r="F1662" s="8">
        <v>2</v>
      </c>
      <c r="G1662" s="8">
        <v>2</v>
      </c>
      <c r="H1662" s="7" t="s">
        <v>87</v>
      </c>
      <c r="I1662" s="7">
        <v>2</v>
      </c>
      <c r="J1662" s="7" t="s">
        <v>353</v>
      </c>
      <c r="K1662" s="7"/>
      <c r="L1662" s="7" t="s">
        <v>38</v>
      </c>
      <c r="M1662" s="7">
        <f t="shared" si="125"/>
        <v>0</v>
      </c>
      <c r="N1662" s="9"/>
      <c r="O1662" s="7"/>
      <c r="P1662" s="9"/>
      <c r="Q1662" s="7"/>
      <c r="R1662" s="7"/>
      <c r="S1662" s="7"/>
      <c r="T1662" s="7"/>
      <c r="U1662" s="7"/>
      <c r="V1662" s="7"/>
      <c r="W1662" s="7"/>
      <c r="X1662" s="7"/>
      <c r="Y1662" s="7"/>
      <c r="Z1662" s="7"/>
      <c r="AA1662" s="7"/>
      <c r="AB1662" s="7">
        <v>0.33333333333333298</v>
      </c>
      <c r="AC1662" s="7">
        <f t="shared" si="126"/>
        <v>0</v>
      </c>
      <c r="AD1662" s="7"/>
      <c r="AE1662" s="7"/>
      <c r="AF1662" s="7"/>
      <c r="AG1662" s="7"/>
      <c r="AH1662" s="7"/>
      <c r="AI1662" s="7"/>
      <c r="AJ1662" s="7"/>
      <c r="AK1662" s="7"/>
      <c r="AL1662" s="9"/>
      <c r="AM1662" s="7"/>
      <c r="AN1662" s="7"/>
      <c r="AO1662" s="12"/>
    </row>
    <row r="1663" spans="1:41" s="11" customFormat="1" x14ac:dyDescent="0.25">
      <c r="A1663" s="2">
        <v>1662</v>
      </c>
      <c r="B1663" s="7" t="s">
        <v>43</v>
      </c>
      <c r="C1663" s="7" t="s">
        <v>577</v>
      </c>
      <c r="D1663" s="7">
        <v>151</v>
      </c>
      <c r="E1663" s="7">
        <v>151</v>
      </c>
      <c r="F1663" s="8">
        <v>10</v>
      </c>
      <c r="G1663" s="8">
        <v>10</v>
      </c>
      <c r="H1663" s="7" t="s">
        <v>260</v>
      </c>
      <c r="I1663" s="7">
        <v>10</v>
      </c>
      <c r="J1663" s="7" t="s">
        <v>639</v>
      </c>
      <c r="K1663" s="7"/>
      <c r="L1663" s="7" t="s">
        <v>38</v>
      </c>
      <c r="M1663" s="7">
        <f t="shared" si="125"/>
        <v>0</v>
      </c>
      <c r="N1663" s="9"/>
      <c r="O1663" s="7"/>
      <c r="P1663" s="9"/>
      <c r="Q1663" s="7"/>
      <c r="R1663" s="7"/>
      <c r="S1663" s="7"/>
      <c r="T1663" s="7"/>
      <c r="U1663" s="7"/>
      <c r="V1663" s="7"/>
      <c r="W1663" s="7"/>
      <c r="X1663" s="7"/>
      <c r="Y1663" s="7"/>
      <c r="Z1663" s="7"/>
      <c r="AA1663" s="7"/>
      <c r="AB1663" s="7">
        <v>0.33333333333333298</v>
      </c>
      <c r="AC1663" s="7">
        <f t="shared" si="126"/>
        <v>0</v>
      </c>
      <c r="AD1663" s="7"/>
      <c r="AE1663" s="7"/>
      <c r="AF1663" s="7"/>
      <c r="AG1663" s="7"/>
      <c r="AH1663" s="7"/>
      <c r="AI1663" s="7"/>
      <c r="AJ1663" s="7"/>
      <c r="AK1663" s="7"/>
      <c r="AL1663" s="9"/>
      <c r="AM1663" s="7"/>
      <c r="AN1663" s="7"/>
      <c r="AO1663" s="15" t="s">
        <v>2806</v>
      </c>
    </row>
    <row r="1664" spans="1:41" s="11" customFormat="1" x14ac:dyDescent="0.25">
      <c r="A1664" s="2">
        <v>1663</v>
      </c>
      <c r="B1664" s="7" t="s">
        <v>68</v>
      </c>
      <c r="C1664" s="7" t="s">
        <v>577</v>
      </c>
      <c r="D1664" s="7">
        <v>109</v>
      </c>
      <c r="E1664" s="7">
        <v>109</v>
      </c>
      <c r="F1664" s="8">
        <v>4</v>
      </c>
      <c r="G1664" s="8">
        <v>4</v>
      </c>
      <c r="H1664" s="7" t="s">
        <v>91</v>
      </c>
      <c r="I1664" s="7">
        <v>4</v>
      </c>
      <c r="J1664" s="7" t="s">
        <v>639</v>
      </c>
      <c r="K1664" s="7"/>
      <c r="L1664" s="7" t="s">
        <v>38</v>
      </c>
      <c r="M1664" s="7">
        <f t="shared" si="125"/>
        <v>0</v>
      </c>
      <c r="N1664" s="9"/>
      <c r="O1664" s="7"/>
      <c r="P1664" s="9"/>
      <c r="Q1664" s="7"/>
      <c r="R1664" s="7"/>
      <c r="S1664" s="7"/>
      <c r="T1664" s="7"/>
      <c r="U1664" s="7"/>
      <c r="V1664" s="7"/>
      <c r="W1664" s="7"/>
      <c r="X1664" s="7"/>
      <c r="Y1664" s="7"/>
      <c r="Z1664" s="7"/>
      <c r="AA1664" s="7"/>
      <c r="AB1664" s="7">
        <v>0.33333333333333298</v>
      </c>
      <c r="AC1664" s="7">
        <f t="shared" si="126"/>
        <v>0</v>
      </c>
      <c r="AD1664" s="7"/>
      <c r="AE1664" s="7"/>
      <c r="AF1664" s="7"/>
      <c r="AG1664" s="7"/>
      <c r="AH1664" s="7"/>
      <c r="AI1664" s="7"/>
      <c r="AJ1664" s="7"/>
      <c r="AK1664" s="7"/>
      <c r="AL1664" s="9"/>
      <c r="AM1664" s="7"/>
      <c r="AN1664" s="7"/>
      <c r="AO1664" s="15" t="s">
        <v>2807</v>
      </c>
    </row>
    <row r="1665" spans="1:41" s="11" customFormat="1" x14ac:dyDescent="0.25">
      <c r="A1665" s="2">
        <v>1664</v>
      </c>
      <c r="B1665" s="7" t="s">
        <v>74</v>
      </c>
      <c r="C1665" s="7" t="s">
        <v>577</v>
      </c>
      <c r="D1665" s="7">
        <v>50</v>
      </c>
      <c r="E1665" s="7">
        <v>50</v>
      </c>
      <c r="F1665" s="8">
        <v>3</v>
      </c>
      <c r="G1665" s="8">
        <v>3</v>
      </c>
      <c r="H1665" s="7" t="s">
        <v>97</v>
      </c>
      <c r="I1665" s="7">
        <v>3</v>
      </c>
      <c r="J1665" s="7" t="s">
        <v>639</v>
      </c>
      <c r="K1665" s="7"/>
      <c r="L1665" s="7" t="s">
        <v>38</v>
      </c>
      <c r="M1665" s="7">
        <f t="shared" si="125"/>
        <v>0</v>
      </c>
      <c r="N1665" s="9"/>
      <c r="O1665" s="7"/>
      <c r="P1665" s="9"/>
      <c r="Q1665" s="7"/>
      <c r="R1665" s="7"/>
      <c r="S1665" s="7"/>
      <c r="T1665" s="7"/>
      <c r="U1665" s="7"/>
      <c r="V1665" s="7"/>
      <c r="W1665" s="7"/>
      <c r="X1665" s="7"/>
      <c r="Y1665" s="7"/>
      <c r="Z1665" s="7"/>
      <c r="AA1665" s="7"/>
      <c r="AB1665" s="7">
        <v>0.33333333333333298</v>
      </c>
      <c r="AC1665" s="7">
        <f t="shared" si="126"/>
        <v>0</v>
      </c>
      <c r="AD1665" s="7"/>
      <c r="AE1665" s="7"/>
      <c r="AF1665" s="7"/>
      <c r="AG1665" s="7"/>
      <c r="AH1665" s="7"/>
      <c r="AI1665" s="7"/>
      <c r="AJ1665" s="7"/>
      <c r="AK1665" s="7"/>
      <c r="AL1665" s="9"/>
      <c r="AM1665" s="7"/>
      <c r="AN1665" s="7"/>
      <c r="AO1665" s="15" t="s">
        <v>2808</v>
      </c>
    </row>
    <row r="1666" spans="1:41" s="11" customFormat="1" ht="24" x14ac:dyDescent="0.25">
      <c r="A1666" s="2">
        <v>1665</v>
      </c>
      <c r="B1666" s="7" t="s">
        <v>74</v>
      </c>
      <c r="C1666" s="7" t="s">
        <v>50</v>
      </c>
      <c r="D1666" s="7" t="s">
        <v>1457</v>
      </c>
      <c r="E1666" s="7">
        <v>55</v>
      </c>
      <c r="F1666" s="8">
        <v>1</v>
      </c>
      <c r="G1666" s="8">
        <v>2</v>
      </c>
      <c r="H1666" s="7">
        <v>2</v>
      </c>
      <c r="I1666" s="7">
        <v>2</v>
      </c>
      <c r="J1666" s="7" t="s">
        <v>219</v>
      </c>
      <c r="K1666" s="7" t="s">
        <v>204</v>
      </c>
      <c r="L1666" s="7" t="s">
        <v>52</v>
      </c>
      <c r="M1666" s="7">
        <f t="shared" ref="M1666:M1729" si="128">IF(L1666="n",F1666,0)</f>
        <v>1</v>
      </c>
      <c r="N1666" s="9" t="s">
        <v>37</v>
      </c>
      <c r="O1666" s="7">
        <v>0</v>
      </c>
      <c r="P1666" s="9" t="s">
        <v>63</v>
      </c>
      <c r="Q1666" s="7" t="s">
        <v>38</v>
      </c>
      <c r="R1666" s="7" t="s">
        <v>52</v>
      </c>
      <c r="S1666" s="10" t="s">
        <v>2296</v>
      </c>
      <c r="T1666" s="7"/>
      <c r="U1666" s="7"/>
      <c r="V1666" s="7"/>
      <c r="W1666" s="7"/>
      <c r="X1666" s="7"/>
      <c r="Y1666" s="7">
        <v>6</v>
      </c>
      <c r="Z1666" s="7">
        <v>6</v>
      </c>
      <c r="AA1666" s="7">
        <v>200</v>
      </c>
      <c r="AB1666" s="7">
        <f>(U1666+X1666+Z1666)/3</f>
        <v>2</v>
      </c>
      <c r="AC1666" s="7">
        <f t="shared" ref="AC1666:AC1729" si="129">IF(L1666="n",AB1666,0)</f>
        <v>2</v>
      </c>
      <c r="AD1666" s="7"/>
      <c r="AE1666" s="7"/>
      <c r="AF1666" s="7"/>
      <c r="AG1666" s="7"/>
      <c r="AH1666" s="7"/>
      <c r="AI1666" s="7"/>
      <c r="AJ1666" s="7"/>
      <c r="AK1666" s="7"/>
      <c r="AL1666" s="9"/>
      <c r="AM1666" s="7" t="s">
        <v>215</v>
      </c>
      <c r="AN1666" s="7" t="s">
        <v>2850</v>
      </c>
      <c r="AO1666" s="15" t="s">
        <v>2809</v>
      </c>
    </row>
    <row r="1667" spans="1:41" s="11" customFormat="1" x14ac:dyDescent="0.25">
      <c r="A1667" s="2">
        <v>1666</v>
      </c>
      <c r="B1667" s="7" t="s">
        <v>240</v>
      </c>
      <c r="C1667" s="7" t="s">
        <v>577</v>
      </c>
      <c r="D1667" s="7">
        <v>402</v>
      </c>
      <c r="E1667" s="7">
        <v>402</v>
      </c>
      <c r="F1667" s="8">
        <v>12</v>
      </c>
      <c r="G1667" s="8">
        <v>12</v>
      </c>
      <c r="H1667" s="7" t="s">
        <v>262</v>
      </c>
      <c r="I1667" s="7">
        <v>12</v>
      </c>
      <c r="J1667" s="7" t="s">
        <v>639</v>
      </c>
      <c r="K1667" s="7"/>
      <c r="L1667" s="7" t="s">
        <v>38</v>
      </c>
      <c r="M1667" s="7">
        <f t="shared" si="128"/>
        <v>0</v>
      </c>
      <c r="N1667" s="9"/>
      <c r="O1667" s="7"/>
      <c r="P1667" s="9"/>
      <c r="Q1667" s="7"/>
      <c r="R1667" s="7"/>
      <c r="S1667" s="7"/>
      <c r="T1667" s="7"/>
      <c r="U1667" s="7"/>
      <c r="V1667" s="7"/>
      <c r="W1667" s="7"/>
      <c r="X1667" s="7"/>
      <c r="Y1667" s="7"/>
      <c r="Z1667" s="7"/>
      <c r="AA1667" s="7"/>
      <c r="AB1667" s="7">
        <v>0.33333333333333298</v>
      </c>
      <c r="AC1667" s="7">
        <f t="shared" si="129"/>
        <v>0</v>
      </c>
      <c r="AD1667" s="7"/>
      <c r="AE1667" s="7"/>
      <c r="AF1667" s="7"/>
      <c r="AG1667" s="7"/>
      <c r="AH1667" s="7"/>
      <c r="AI1667" s="7"/>
      <c r="AJ1667" s="7"/>
      <c r="AK1667" s="7"/>
      <c r="AL1667" s="9"/>
      <c r="AM1667" s="7"/>
      <c r="AN1667" s="7"/>
      <c r="AO1667" s="15" t="s">
        <v>2810</v>
      </c>
    </row>
    <row r="1668" spans="1:41" s="11" customFormat="1" x14ac:dyDescent="0.25">
      <c r="A1668" s="2">
        <v>1667</v>
      </c>
      <c r="B1668" s="7" t="s">
        <v>292</v>
      </c>
      <c r="C1668" s="7" t="s">
        <v>100</v>
      </c>
      <c r="D1668" s="7">
        <v>21</v>
      </c>
      <c r="E1668" s="7">
        <v>21</v>
      </c>
      <c r="F1668" s="8">
        <v>1</v>
      </c>
      <c r="G1668" s="8">
        <v>1</v>
      </c>
      <c r="H1668" s="7">
        <v>1</v>
      </c>
      <c r="I1668" s="7">
        <v>1</v>
      </c>
      <c r="J1668" s="7" t="s">
        <v>639</v>
      </c>
      <c r="K1668" s="7"/>
      <c r="L1668" s="7" t="s">
        <v>38</v>
      </c>
      <c r="M1668" s="7">
        <f t="shared" si="128"/>
        <v>0</v>
      </c>
      <c r="N1668" s="9"/>
      <c r="O1668" s="7"/>
      <c r="P1668" s="9"/>
      <c r="Q1668" s="7"/>
      <c r="R1668" s="7"/>
      <c r="S1668" s="7"/>
      <c r="T1668" s="7"/>
      <c r="U1668" s="7"/>
      <c r="V1668" s="7"/>
      <c r="W1668" s="7"/>
      <c r="X1668" s="7"/>
      <c r="Y1668" s="7"/>
      <c r="Z1668" s="7"/>
      <c r="AA1668" s="7"/>
      <c r="AB1668" s="7">
        <v>0.33333333333333298</v>
      </c>
      <c r="AC1668" s="7">
        <f t="shared" si="129"/>
        <v>0</v>
      </c>
      <c r="AD1668" s="7"/>
      <c r="AE1668" s="7"/>
      <c r="AF1668" s="7"/>
      <c r="AG1668" s="7"/>
      <c r="AH1668" s="7"/>
      <c r="AI1668" s="7"/>
      <c r="AJ1668" s="7"/>
      <c r="AK1668" s="7"/>
      <c r="AL1668" s="9"/>
      <c r="AM1668" s="7"/>
      <c r="AN1668" s="7"/>
      <c r="AO1668" s="15" t="s">
        <v>2811</v>
      </c>
    </row>
    <row r="1669" spans="1:41" s="11" customFormat="1" x14ac:dyDescent="0.25">
      <c r="A1669" s="2">
        <v>1668</v>
      </c>
      <c r="B1669" s="7" t="s">
        <v>292</v>
      </c>
      <c r="C1669" s="7" t="s">
        <v>89</v>
      </c>
      <c r="D1669" s="7">
        <v>18</v>
      </c>
      <c r="E1669" s="7">
        <v>18</v>
      </c>
      <c r="F1669" s="8">
        <v>2</v>
      </c>
      <c r="G1669" s="8">
        <v>3</v>
      </c>
      <c r="H1669" s="7" t="s">
        <v>97</v>
      </c>
      <c r="I1669" s="7">
        <v>3</v>
      </c>
      <c r="J1669" s="7" t="s">
        <v>353</v>
      </c>
      <c r="K1669" s="7"/>
      <c r="L1669" s="7" t="s">
        <v>38</v>
      </c>
      <c r="M1669" s="7">
        <f t="shared" si="128"/>
        <v>0</v>
      </c>
      <c r="N1669" s="9"/>
      <c r="O1669" s="7"/>
      <c r="P1669" s="9"/>
      <c r="Q1669" s="7"/>
      <c r="R1669" s="7"/>
      <c r="S1669" s="7"/>
      <c r="T1669" s="7"/>
      <c r="U1669" s="7"/>
      <c r="V1669" s="7"/>
      <c r="W1669" s="7"/>
      <c r="X1669" s="7"/>
      <c r="Y1669" s="7"/>
      <c r="Z1669" s="7"/>
      <c r="AA1669" s="7"/>
      <c r="AB1669" s="7">
        <v>0.33333333333333298</v>
      </c>
      <c r="AC1669" s="7">
        <f t="shared" si="129"/>
        <v>0</v>
      </c>
      <c r="AD1669" s="7"/>
      <c r="AE1669" s="7"/>
      <c r="AF1669" s="7"/>
      <c r="AG1669" s="7"/>
      <c r="AH1669" s="7"/>
      <c r="AI1669" s="7"/>
      <c r="AJ1669" s="7"/>
      <c r="AK1669" s="7"/>
      <c r="AL1669" s="9"/>
      <c r="AM1669" s="7"/>
      <c r="AN1669" s="7"/>
      <c r="AO1669" s="12"/>
    </row>
    <row r="1670" spans="1:41" s="11" customFormat="1" x14ac:dyDescent="0.25">
      <c r="A1670" s="2">
        <v>1669</v>
      </c>
      <c r="B1670" s="7" t="s">
        <v>338</v>
      </c>
      <c r="C1670" s="7" t="s">
        <v>89</v>
      </c>
      <c r="D1670" s="7">
        <v>26</v>
      </c>
      <c r="E1670" s="7">
        <v>26</v>
      </c>
      <c r="F1670" s="8">
        <v>26</v>
      </c>
      <c r="G1670" s="8">
        <v>3</v>
      </c>
      <c r="H1670" s="7" t="s">
        <v>293</v>
      </c>
      <c r="I1670" s="7">
        <v>3</v>
      </c>
      <c r="J1670" s="7" t="s">
        <v>639</v>
      </c>
      <c r="K1670" s="7"/>
      <c r="L1670" s="7" t="s">
        <v>38</v>
      </c>
      <c r="M1670" s="7">
        <f t="shared" si="128"/>
        <v>0</v>
      </c>
      <c r="N1670" s="9"/>
      <c r="O1670" s="7"/>
      <c r="P1670" s="9"/>
      <c r="Q1670" s="7"/>
      <c r="R1670" s="7"/>
      <c r="S1670" s="7"/>
      <c r="T1670" s="7"/>
      <c r="U1670" s="7"/>
      <c r="V1670" s="7"/>
      <c r="W1670" s="7"/>
      <c r="X1670" s="7"/>
      <c r="Y1670" s="7"/>
      <c r="Z1670" s="7"/>
      <c r="AA1670" s="7"/>
      <c r="AB1670" s="7">
        <v>0.33333333333333298</v>
      </c>
      <c r="AC1670" s="7">
        <f t="shared" si="129"/>
        <v>0</v>
      </c>
      <c r="AD1670" s="7"/>
      <c r="AE1670" s="7"/>
      <c r="AF1670" s="7"/>
      <c r="AG1670" s="7"/>
      <c r="AH1670" s="7"/>
      <c r="AI1670" s="7"/>
      <c r="AJ1670" s="7"/>
      <c r="AK1670" s="7"/>
      <c r="AL1670" s="9"/>
      <c r="AM1670" s="7"/>
      <c r="AN1670" s="7"/>
      <c r="AO1670" s="15" t="s">
        <v>2808</v>
      </c>
    </row>
    <row r="1671" spans="1:41" s="11" customFormat="1" x14ac:dyDescent="0.25">
      <c r="A1671" s="2">
        <v>1670</v>
      </c>
      <c r="B1671" s="7" t="s">
        <v>296</v>
      </c>
      <c r="C1671" s="7" t="s">
        <v>577</v>
      </c>
      <c r="D1671" s="7">
        <v>161</v>
      </c>
      <c r="E1671" s="7">
        <v>161</v>
      </c>
      <c r="F1671" s="8">
        <v>9</v>
      </c>
      <c r="G1671" s="8">
        <v>13</v>
      </c>
      <c r="H1671" s="7" t="s">
        <v>1458</v>
      </c>
      <c r="I1671" s="7">
        <v>13</v>
      </c>
      <c r="J1671" s="7" t="s">
        <v>639</v>
      </c>
      <c r="K1671" s="7"/>
      <c r="L1671" s="7" t="s">
        <v>38</v>
      </c>
      <c r="M1671" s="7">
        <f t="shared" si="128"/>
        <v>0</v>
      </c>
      <c r="N1671" s="9"/>
      <c r="O1671" s="7"/>
      <c r="P1671" s="9"/>
      <c r="Q1671" s="7"/>
      <c r="R1671" s="7"/>
      <c r="S1671" s="7"/>
      <c r="T1671" s="7"/>
      <c r="U1671" s="7"/>
      <c r="V1671" s="7"/>
      <c r="W1671" s="7"/>
      <c r="X1671" s="7"/>
      <c r="Y1671" s="7"/>
      <c r="Z1671" s="7"/>
      <c r="AA1671" s="7"/>
      <c r="AB1671" s="7">
        <v>0.33333333333333298</v>
      </c>
      <c r="AC1671" s="7">
        <f t="shared" si="129"/>
        <v>0</v>
      </c>
      <c r="AD1671" s="7"/>
      <c r="AE1671" s="7"/>
      <c r="AF1671" s="7"/>
      <c r="AG1671" s="7"/>
      <c r="AH1671" s="7"/>
      <c r="AI1671" s="7"/>
      <c r="AJ1671" s="7"/>
      <c r="AK1671" s="7"/>
      <c r="AL1671" s="9"/>
      <c r="AM1671" s="7"/>
      <c r="AN1671" s="7"/>
      <c r="AO1671" s="15" t="s">
        <v>2812</v>
      </c>
    </row>
    <row r="1672" spans="1:41" s="11" customFormat="1" x14ac:dyDescent="0.25">
      <c r="A1672" s="2">
        <v>1671</v>
      </c>
      <c r="B1672" s="7" t="s">
        <v>296</v>
      </c>
      <c r="C1672" s="7" t="s">
        <v>100</v>
      </c>
      <c r="D1672" s="7">
        <v>4</v>
      </c>
      <c r="E1672" s="7">
        <v>4</v>
      </c>
      <c r="F1672" s="8">
        <v>1</v>
      </c>
      <c r="G1672" s="8">
        <v>1</v>
      </c>
      <c r="H1672" s="7">
        <v>1</v>
      </c>
      <c r="I1672" s="7">
        <v>1</v>
      </c>
      <c r="J1672" s="7" t="s">
        <v>353</v>
      </c>
      <c r="K1672" s="7"/>
      <c r="L1672" s="7" t="s">
        <v>38</v>
      </c>
      <c r="M1672" s="7">
        <f t="shared" si="128"/>
        <v>0</v>
      </c>
      <c r="N1672" s="9"/>
      <c r="O1672" s="7"/>
      <c r="P1672" s="9"/>
      <c r="Q1672" s="7"/>
      <c r="R1672" s="7"/>
      <c r="S1672" s="7"/>
      <c r="T1672" s="7"/>
      <c r="U1672" s="7"/>
      <c r="V1672" s="7"/>
      <c r="W1672" s="7"/>
      <c r="X1672" s="7"/>
      <c r="Y1672" s="7"/>
      <c r="Z1672" s="7"/>
      <c r="AA1672" s="7"/>
      <c r="AB1672" s="7">
        <v>0.33333333333333298</v>
      </c>
      <c r="AC1672" s="7">
        <f t="shared" si="129"/>
        <v>0</v>
      </c>
      <c r="AD1672" s="7"/>
      <c r="AE1672" s="7"/>
      <c r="AF1672" s="7"/>
      <c r="AG1672" s="7"/>
      <c r="AH1672" s="7"/>
      <c r="AI1672" s="7"/>
      <c r="AJ1672" s="7"/>
      <c r="AK1672" s="7"/>
      <c r="AL1672" s="9"/>
      <c r="AM1672" s="7"/>
      <c r="AN1672" s="7"/>
      <c r="AO1672" s="12"/>
    </row>
    <row r="1673" spans="1:41" s="11" customFormat="1" x14ac:dyDescent="0.25">
      <c r="A1673" s="2">
        <v>1672</v>
      </c>
      <c r="B1673" s="7" t="s">
        <v>354</v>
      </c>
      <c r="C1673" s="7" t="s">
        <v>577</v>
      </c>
      <c r="D1673" s="7">
        <v>77</v>
      </c>
      <c r="E1673" s="7">
        <v>77</v>
      </c>
      <c r="F1673" s="8">
        <v>10</v>
      </c>
      <c r="G1673" s="8">
        <v>10</v>
      </c>
      <c r="H1673" s="7" t="s">
        <v>260</v>
      </c>
      <c r="I1673" s="7">
        <v>10</v>
      </c>
      <c r="J1673" s="7" t="s">
        <v>639</v>
      </c>
      <c r="K1673" s="7"/>
      <c r="L1673" s="7" t="s">
        <v>38</v>
      </c>
      <c r="M1673" s="7">
        <f t="shared" si="128"/>
        <v>0</v>
      </c>
      <c r="N1673" s="9"/>
      <c r="O1673" s="7"/>
      <c r="P1673" s="9"/>
      <c r="Q1673" s="7"/>
      <c r="R1673" s="7"/>
      <c r="S1673" s="7"/>
      <c r="T1673" s="7"/>
      <c r="U1673" s="7"/>
      <c r="V1673" s="7"/>
      <c r="W1673" s="7"/>
      <c r="X1673" s="7"/>
      <c r="Y1673" s="7"/>
      <c r="Z1673" s="7"/>
      <c r="AA1673" s="7"/>
      <c r="AB1673" s="7">
        <v>0.33333333333333298</v>
      </c>
      <c r="AC1673" s="7">
        <f t="shared" si="129"/>
        <v>0</v>
      </c>
      <c r="AD1673" s="7"/>
      <c r="AE1673" s="7"/>
      <c r="AF1673" s="7"/>
      <c r="AG1673" s="7"/>
      <c r="AH1673" s="7"/>
      <c r="AI1673" s="7"/>
      <c r="AJ1673" s="7"/>
      <c r="AK1673" s="7"/>
      <c r="AL1673" s="9"/>
      <c r="AM1673" s="7"/>
      <c r="AN1673" s="7"/>
      <c r="AO1673" s="15" t="s">
        <v>2813</v>
      </c>
    </row>
    <row r="1674" spans="1:41" s="11" customFormat="1" x14ac:dyDescent="0.25">
      <c r="A1674" s="2">
        <v>1673</v>
      </c>
      <c r="B1674" s="7" t="s">
        <v>354</v>
      </c>
      <c r="C1674" s="7" t="s">
        <v>577</v>
      </c>
      <c r="D1674" s="7">
        <v>82</v>
      </c>
      <c r="E1674" s="7">
        <v>82</v>
      </c>
      <c r="F1674" s="8">
        <v>4</v>
      </c>
      <c r="G1674" s="8">
        <v>4</v>
      </c>
      <c r="H1674" s="7" t="s">
        <v>91</v>
      </c>
      <c r="I1674" s="7">
        <v>4</v>
      </c>
      <c r="J1674" s="7" t="s">
        <v>353</v>
      </c>
      <c r="K1674" s="7"/>
      <c r="L1674" s="7" t="s">
        <v>38</v>
      </c>
      <c r="M1674" s="7">
        <f t="shared" si="128"/>
        <v>0</v>
      </c>
      <c r="N1674" s="9"/>
      <c r="O1674" s="7"/>
      <c r="P1674" s="9"/>
      <c r="Q1674" s="7"/>
      <c r="R1674" s="7"/>
      <c r="S1674" s="7"/>
      <c r="T1674" s="7"/>
      <c r="U1674" s="7"/>
      <c r="V1674" s="7"/>
      <c r="W1674" s="7"/>
      <c r="X1674" s="7"/>
      <c r="Y1674" s="7"/>
      <c r="Z1674" s="7"/>
      <c r="AA1674" s="7"/>
      <c r="AB1674" s="7">
        <v>0.33333333333333298</v>
      </c>
      <c r="AC1674" s="7">
        <f t="shared" si="129"/>
        <v>0</v>
      </c>
      <c r="AD1674" s="7"/>
      <c r="AE1674" s="7"/>
      <c r="AF1674" s="7"/>
      <c r="AG1674" s="7"/>
      <c r="AH1674" s="7"/>
      <c r="AI1674" s="7"/>
      <c r="AJ1674" s="7"/>
      <c r="AK1674" s="7"/>
      <c r="AL1674" s="9"/>
      <c r="AM1674" s="7"/>
      <c r="AN1674" s="7"/>
      <c r="AO1674" s="15" t="s">
        <v>2814</v>
      </c>
    </row>
    <row r="1675" spans="1:41" s="11" customFormat="1" ht="36" x14ac:dyDescent="0.25">
      <c r="A1675" s="2">
        <v>1674</v>
      </c>
      <c r="B1675" s="7" t="s">
        <v>367</v>
      </c>
      <c r="C1675" s="7" t="s">
        <v>421</v>
      </c>
      <c r="D1675" s="7">
        <v>122</v>
      </c>
      <c r="E1675" s="7">
        <v>122</v>
      </c>
      <c r="F1675" s="8">
        <v>1</v>
      </c>
      <c r="G1675" s="9" t="s">
        <v>86</v>
      </c>
      <c r="H1675" s="7">
        <v>4</v>
      </c>
      <c r="I1675" s="7">
        <v>4</v>
      </c>
      <c r="J1675" s="7" t="s">
        <v>77</v>
      </c>
      <c r="K1675" s="7">
        <v>2</v>
      </c>
      <c r="L1675" s="7" t="s">
        <v>52</v>
      </c>
      <c r="M1675" s="7">
        <f t="shared" si="128"/>
        <v>1</v>
      </c>
      <c r="N1675" s="9" t="s">
        <v>37</v>
      </c>
      <c r="O1675" s="7">
        <v>4</v>
      </c>
      <c r="P1675" s="9" t="s">
        <v>33</v>
      </c>
      <c r="Q1675" s="7" t="s">
        <v>38</v>
      </c>
      <c r="R1675" s="7" t="s">
        <v>38</v>
      </c>
      <c r="S1675" s="10" t="s">
        <v>2297</v>
      </c>
      <c r="T1675" s="7">
        <v>40</v>
      </c>
      <c r="U1675" s="7">
        <v>40</v>
      </c>
      <c r="V1675" s="7">
        <v>80</v>
      </c>
      <c r="W1675" s="7" t="s">
        <v>88</v>
      </c>
      <c r="X1675" s="7">
        <v>35</v>
      </c>
      <c r="Y1675" s="7">
        <v>35</v>
      </c>
      <c r="Z1675" s="7">
        <v>35</v>
      </c>
      <c r="AA1675" s="7">
        <v>80</v>
      </c>
      <c r="AB1675" s="7">
        <f>(U1675+X1675+Z1675)/3</f>
        <v>36.666666666666664</v>
      </c>
      <c r="AC1675" s="7">
        <f t="shared" si="129"/>
        <v>36.666666666666664</v>
      </c>
      <c r="AD1675" s="7"/>
      <c r="AE1675" s="7">
        <v>1</v>
      </c>
      <c r="AF1675" s="7" t="s">
        <v>40</v>
      </c>
      <c r="AG1675" s="7"/>
      <c r="AH1675" s="7"/>
      <c r="AI1675" s="7"/>
      <c r="AJ1675" s="10" t="s">
        <v>2342</v>
      </c>
      <c r="AK1675" s="10" t="s">
        <v>2508</v>
      </c>
      <c r="AL1675" s="9"/>
      <c r="AM1675" s="7" t="s">
        <v>42</v>
      </c>
      <c r="AN1675" s="7" t="s">
        <v>42</v>
      </c>
      <c r="AO1675" s="15" t="s">
        <v>2815</v>
      </c>
    </row>
    <row r="1676" spans="1:41" s="11" customFormat="1" x14ac:dyDescent="0.25">
      <c r="A1676" s="2">
        <v>1675</v>
      </c>
      <c r="B1676" s="7" t="s">
        <v>367</v>
      </c>
      <c r="C1676" s="7" t="s">
        <v>104</v>
      </c>
      <c r="D1676" s="7">
        <v>15</v>
      </c>
      <c r="E1676" s="7">
        <v>15</v>
      </c>
      <c r="F1676" s="8">
        <v>1</v>
      </c>
      <c r="G1676" s="8">
        <v>1</v>
      </c>
      <c r="H1676" s="7">
        <v>1</v>
      </c>
      <c r="I1676" s="7">
        <v>1</v>
      </c>
      <c r="J1676" s="7" t="s">
        <v>77</v>
      </c>
      <c r="K1676" s="7">
        <v>1</v>
      </c>
      <c r="L1676" s="7" t="s">
        <v>38</v>
      </c>
      <c r="M1676" s="7">
        <f t="shared" si="128"/>
        <v>0</v>
      </c>
      <c r="N1676" s="9" t="s">
        <v>34</v>
      </c>
      <c r="O1676" s="7">
        <v>0</v>
      </c>
      <c r="P1676" s="9" t="s">
        <v>36</v>
      </c>
      <c r="Q1676" s="7" t="s">
        <v>283</v>
      </c>
      <c r="R1676" s="7" t="s">
        <v>283</v>
      </c>
      <c r="S1676" s="10" t="s">
        <v>1522</v>
      </c>
      <c r="T1676" s="7"/>
      <c r="U1676" s="7"/>
      <c r="V1676" s="7"/>
      <c r="W1676" s="7"/>
      <c r="X1676" s="7">
        <v>3</v>
      </c>
      <c r="Y1676" s="7"/>
      <c r="Z1676" s="7"/>
      <c r="AA1676" s="7"/>
      <c r="AB1676" s="7">
        <f>(U1676+X1676+Z1676)/3</f>
        <v>1</v>
      </c>
      <c r="AC1676" s="7">
        <f t="shared" si="129"/>
        <v>0</v>
      </c>
      <c r="AD1676" s="7"/>
      <c r="AE1676" s="7">
        <v>1</v>
      </c>
      <c r="AF1676" s="7" t="s">
        <v>40</v>
      </c>
      <c r="AG1676" s="7"/>
      <c r="AH1676" s="7"/>
      <c r="AI1676" s="7"/>
      <c r="AJ1676" s="7"/>
      <c r="AK1676" s="7"/>
      <c r="AL1676" s="9"/>
      <c r="AM1676" s="7" t="s">
        <v>42</v>
      </c>
      <c r="AN1676" s="7" t="s">
        <v>42</v>
      </c>
      <c r="AO1676" s="12"/>
    </row>
    <row r="1677" spans="1:41" s="11" customFormat="1" x14ac:dyDescent="0.25">
      <c r="A1677" s="2">
        <v>1676</v>
      </c>
      <c r="B1677" s="7" t="s">
        <v>367</v>
      </c>
      <c r="C1677" s="7" t="s">
        <v>89</v>
      </c>
      <c r="D1677" s="7" t="s">
        <v>1459</v>
      </c>
      <c r="E1677" s="7">
        <v>13</v>
      </c>
      <c r="F1677" s="8">
        <v>3</v>
      </c>
      <c r="G1677" s="8">
        <v>3</v>
      </c>
      <c r="H1677" s="7" t="s">
        <v>97</v>
      </c>
      <c r="I1677" s="7">
        <v>3</v>
      </c>
      <c r="J1677" s="7" t="s">
        <v>77</v>
      </c>
      <c r="K1677" s="7">
        <v>1</v>
      </c>
      <c r="L1677" s="7" t="s">
        <v>38</v>
      </c>
      <c r="M1677" s="7">
        <f t="shared" si="128"/>
        <v>0</v>
      </c>
      <c r="N1677" s="9"/>
      <c r="O1677" s="7"/>
      <c r="P1677" s="9"/>
      <c r="Q1677" s="7"/>
      <c r="R1677" s="7"/>
      <c r="S1677" s="7"/>
      <c r="T1677" s="7"/>
      <c r="U1677" s="7"/>
      <c r="V1677" s="7"/>
      <c r="W1677" s="7"/>
      <c r="X1677" s="7">
        <v>3</v>
      </c>
      <c r="Y1677" s="7"/>
      <c r="Z1677" s="7"/>
      <c r="AA1677" s="7"/>
      <c r="AB1677" s="7">
        <f>(U1677+X1677+Z1677)/3</f>
        <v>1</v>
      </c>
      <c r="AC1677" s="7">
        <f t="shared" si="129"/>
        <v>0</v>
      </c>
      <c r="AD1677" s="7"/>
      <c r="AE1677" s="7"/>
      <c r="AF1677" s="7"/>
      <c r="AG1677" s="7"/>
      <c r="AH1677" s="7"/>
      <c r="AI1677" s="10" t="s">
        <v>2336</v>
      </c>
      <c r="AJ1677" s="7"/>
      <c r="AK1677" s="7"/>
      <c r="AL1677" s="9"/>
      <c r="AM1677" s="7" t="s">
        <v>71</v>
      </c>
      <c r="AN1677" s="7" t="s">
        <v>71</v>
      </c>
      <c r="AO1677" s="12"/>
    </row>
    <row r="1678" spans="1:41" s="11" customFormat="1" x14ac:dyDescent="0.25">
      <c r="A1678" s="2">
        <v>1677</v>
      </c>
      <c r="B1678" s="7" t="s">
        <v>367</v>
      </c>
      <c r="C1678" s="7" t="s">
        <v>100</v>
      </c>
      <c r="D1678" s="7">
        <v>3</v>
      </c>
      <c r="E1678" s="7">
        <v>3</v>
      </c>
      <c r="F1678" s="8">
        <v>1</v>
      </c>
      <c r="G1678" s="8">
        <v>1</v>
      </c>
      <c r="H1678" s="7">
        <v>1</v>
      </c>
      <c r="I1678" s="7">
        <v>1</v>
      </c>
      <c r="J1678" s="7" t="s">
        <v>77</v>
      </c>
      <c r="K1678" s="7">
        <v>2</v>
      </c>
      <c r="L1678" s="7" t="s">
        <v>38</v>
      </c>
      <c r="M1678" s="7">
        <f t="shared" si="128"/>
        <v>0</v>
      </c>
      <c r="N1678" s="9"/>
      <c r="O1678" s="7"/>
      <c r="P1678" s="9"/>
      <c r="Q1678" s="7"/>
      <c r="R1678" s="7"/>
      <c r="S1678" s="7"/>
      <c r="T1678" s="7"/>
      <c r="U1678" s="7"/>
      <c r="V1678" s="7"/>
      <c r="W1678" s="7"/>
      <c r="X1678" s="7">
        <v>3</v>
      </c>
      <c r="Y1678" s="7"/>
      <c r="Z1678" s="7"/>
      <c r="AA1678" s="7"/>
      <c r="AB1678" s="7">
        <f>(U1678+X1678+Z1678)/3</f>
        <v>1</v>
      </c>
      <c r="AC1678" s="7">
        <f t="shared" si="129"/>
        <v>0</v>
      </c>
      <c r="AD1678" s="7"/>
      <c r="AE1678" s="7"/>
      <c r="AF1678" s="7"/>
      <c r="AG1678" s="7"/>
      <c r="AH1678" s="7"/>
      <c r="AI1678" s="7"/>
      <c r="AJ1678" s="7"/>
      <c r="AK1678" s="7"/>
      <c r="AL1678" s="9"/>
      <c r="AM1678" s="7" t="s">
        <v>71</v>
      </c>
      <c r="AN1678" s="7" t="s">
        <v>71</v>
      </c>
      <c r="AO1678" s="12"/>
    </row>
    <row r="1679" spans="1:41" s="11" customFormat="1" x14ac:dyDescent="0.25">
      <c r="A1679" s="2">
        <v>1678</v>
      </c>
      <c r="B1679" s="7" t="s">
        <v>367</v>
      </c>
      <c r="C1679" s="7" t="s">
        <v>100</v>
      </c>
      <c r="D1679" s="7">
        <v>12</v>
      </c>
      <c r="E1679" s="7">
        <v>12</v>
      </c>
      <c r="F1679" s="8">
        <v>1</v>
      </c>
      <c r="G1679" s="8">
        <v>1</v>
      </c>
      <c r="H1679" s="7">
        <v>1</v>
      </c>
      <c r="I1679" s="7">
        <v>1</v>
      </c>
      <c r="J1679" s="7" t="s">
        <v>219</v>
      </c>
      <c r="K1679" s="7">
        <v>2</v>
      </c>
      <c r="L1679" s="7" t="s">
        <v>52</v>
      </c>
      <c r="M1679" s="7">
        <f t="shared" si="128"/>
        <v>1</v>
      </c>
      <c r="N1679" s="9"/>
      <c r="O1679" s="7"/>
      <c r="P1679" s="9"/>
      <c r="Q1679" s="7"/>
      <c r="R1679" s="7"/>
      <c r="S1679" s="7"/>
      <c r="T1679" s="7"/>
      <c r="U1679" s="7"/>
      <c r="V1679" s="7"/>
      <c r="W1679" s="7"/>
      <c r="X1679" s="7">
        <v>3</v>
      </c>
      <c r="Y1679" s="7"/>
      <c r="Z1679" s="7"/>
      <c r="AA1679" s="7"/>
      <c r="AB1679" s="7">
        <f>(U1679+X1679+Z1679)/3</f>
        <v>1</v>
      </c>
      <c r="AC1679" s="7">
        <f t="shared" si="129"/>
        <v>1</v>
      </c>
      <c r="AD1679" s="7"/>
      <c r="AE1679" s="7"/>
      <c r="AF1679" s="7"/>
      <c r="AG1679" s="7"/>
      <c r="AH1679" s="7"/>
      <c r="AI1679" s="7"/>
      <c r="AJ1679" s="7"/>
      <c r="AK1679" s="7"/>
      <c r="AL1679" s="9"/>
      <c r="AM1679" s="7" t="s">
        <v>71</v>
      </c>
      <c r="AN1679" s="7" t="s">
        <v>71</v>
      </c>
      <c r="AO1679" s="12"/>
    </row>
    <row r="1680" spans="1:41" s="11" customFormat="1" x14ac:dyDescent="0.25">
      <c r="A1680" s="2">
        <v>1679</v>
      </c>
      <c r="B1680" s="7" t="s">
        <v>367</v>
      </c>
      <c r="C1680" s="7" t="s">
        <v>89</v>
      </c>
      <c r="D1680" s="7">
        <v>49</v>
      </c>
      <c r="E1680" s="7">
        <v>49</v>
      </c>
      <c r="F1680" s="8">
        <v>2</v>
      </c>
      <c r="G1680" s="8">
        <v>2</v>
      </c>
      <c r="H1680" s="7" t="s">
        <v>87</v>
      </c>
      <c r="I1680" s="7">
        <v>2</v>
      </c>
      <c r="J1680" s="7" t="s">
        <v>353</v>
      </c>
      <c r="K1680" s="7"/>
      <c r="L1680" s="7" t="s">
        <v>38</v>
      </c>
      <c r="M1680" s="7">
        <f t="shared" si="128"/>
        <v>0</v>
      </c>
      <c r="N1680" s="9"/>
      <c r="O1680" s="7"/>
      <c r="P1680" s="9"/>
      <c r="Q1680" s="7"/>
      <c r="R1680" s="7"/>
      <c r="S1680" s="7"/>
      <c r="T1680" s="7"/>
      <c r="U1680" s="7"/>
      <c r="V1680" s="7"/>
      <c r="W1680" s="7"/>
      <c r="X1680" s="7"/>
      <c r="Y1680" s="7"/>
      <c r="Z1680" s="7"/>
      <c r="AA1680" s="7"/>
      <c r="AB1680" s="7">
        <v>0.33333333333333298</v>
      </c>
      <c r="AC1680" s="7">
        <f t="shared" si="129"/>
        <v>0</v>
      </c>
      <c r="AD1680" s="7"/>
      <c r="AE1680" s="7"/>
      <c r="AF1680" s="7"/>
      <c r="AG1680" s="7"/>
      <c r="AH1680" s="7"/>
      <c r="AI1680" s="7"/>
      <c r="AJ1680" s="7"/>
      <c r="AK1680" s="7"/>
      <c r="AL1680" s="9"/>
      <c r="AM1680" s="7"/>
      <c r="AN1680" s="7"/>
      <c r="AO1680" s="12"/>
    </row>
    <row r="1681" spans="1:41" s="11" customFormat="1" x14ac:dyDescent="0.25">
      <c r="A1681" s="2">
        <v>1680</v>
      </c>
      <c r="B1681" s="7" t="s">
        <v>367</v>
      </c>
      <c r="C1681" s="7" t="s">
        <v>577</v>
      </c>
      <c r="D1681" s="7">
        <v>199</v>
      </c>
      <c r="E1681" s="7">
        <v>199</v>
      </c>
      <c r="F1681" s="8">
        <v>8</v>
      </c>
      <c r="G1681" s="8">
        <v>8</v>
      </c>
      <c r="H1681" s="7" t="s">
        <v>258</v>
      </c>
      <c r="I1681" s="7">
        <v>8</v>
      </c>
      <c r="J1681" s="7" t="s">
        <v>639</v>
      </c>
      <c r="K1681" s="7"/>
      <c r="L1681" s="7" t="s">
        <v>38</v>
      </c>
      <c r="M1681" s="7">
        <f t="shared" si="128"/>
        <v>0</v>
      </c>
      <c r="N1681" s="9"/>
      <c r="O1681" s="7"/>
      <c r="P1681" s="9"/>
      <c r="Q1681" s="7"/>
      <c r="R1681" s="7"/>
      <c r="S1681" s="7"/>
      <c r="T1681" s="7"/>
      <c r="U1681" s="7"/>
      <c r="V1681" s="7"/>
      <c r="W1681" s="7"/>
      <c r="X1681" s="7"/>
      <c r="Y1681" s="7"/>
      <c r="Z1681" s="7"/>
      <c r="AA1681" s="7"/>
      <c r="AB1681" s="7">
        <v>0.33333333333333298</v>
      </c>
      <c r="AC1681" s="7">
        <f t="shared" si="129"/>
        <v>0</v>
      </c>
      <c r="AD1681" s="7"/>
      <c r="AE1681" s="7"/>
      <c r="AF1681" s="7"/>
      <c r="AG1681" s="7"/>
      <c r="AH1681" s="7"/>
      <c r="AI1681" s="7"/>
      <c r="AJ1681" s="7"/>
      <c r="AK1681" s="7"/>
      <c r="AL1681" s="9"/>
      <c r="AM1681" s="7"/>
      <c r="AN1681" s="7"/>
      <c r="AO1681" s="15" t="s">
        <v>2816</v>
      </c>
    </row>
    <row r="1682" spans="1:41" s="11" customFormat="1" x14ac:dyDescent="0.25">
      <c r="A1682" s="2">
        <v>1681</v>
      </c>
      <c r="B1682" s="7" t="s">
        <v>378</v>
      </c>
      <c r="C1682" s="7" t="s">
        <v>89</v>
      </c>
      <c r="D1682" s="7">
        <v>23</v>
      </c>
      <c r="E1682" s="7">
        <v>23</v>
      </c>
      <c r="F1682" s="8">
        <v>4</v>
      </c>
      <c r="G1682" s="8">
        <v>4</v>
      </c>
      <c r="H1682" s="7" t="s">
        <v>91</v>
      </c>
      <c r="I1682" s="7">
        <v>4</v>
      </c>
      <c r="J1682" s="7" t="s">
        <v>639</v>
      </c>
      <c r="K1682" s="7"/>
      <c r="L1682" s="7" t="s">
        <v>38</v>
      </c>
      <c r="M1682" s="7">
        <f t="shared" si="128"/>
        <v>0</v>
      </c>
      <c r="N1682" s="9"/>
      <c r="O1682" s="7"/>
      <c r="P1682" s="9"/>
      <c r="Q1682" s="7"/>
      <c r="R1682" s="7"/>
      <c r="S1682" s="7"/>
      <c r="T1682" s="7"/>
      <c r="U1682" s="7"/>
      <c r="V1682" s="7"/>
      <c r="W1682" s="7"/>
      <c r="X1682" s="7"/>
      <c r="Y1682" s="7"/>
      <c r="Z1682" s="7"/>
      <c r="AA1682" s="7"/>
      <c r="AB1682" s="7">
        <v>0.33333333333333298</v>
      </c>
      <c r="AC1682" s="7">
        <f t="shared" si="129"/>
        <v>0</v>
      </c>
      <c r="AD1682" s="7"/>
      <c r="AE1682" s="7"/>
      <c r="AF1682" s="7"/>
      <c r="AG1682" s="7"/>
      <c r="AH1682" s="7"/>
      <c r="AI1682" s="7"/>
      <c r="AJ1682" s="7"/>
      <c r="AK1682" s="7"/>
      <c r="AL1682" s="9"/>
      <c r="AM1682" s="7"/>
      <c r="AN1682" s="7"/>
      <c r="AO1682" s="15" t="s">
        <v>2817</v>
      </c>
    </row>
    <row r="1683" spans="1:41" s="11" customFormat="1" x14ac:dyDescent="0.25">
      <c r="A1683" s="2">
        <v>1682</v>
      </c>
      <c r="B1683" s="7" t="s">
        <v>370</v>
      </c>
      <c r="C1683" s="7" t="s">
        <v>577</v>
      </c>
      <c r="D1683" s="7">
        <v>321</v>
      </c>
      <c r="E1683" s="7">
        <v>321</v>
      </c>
      <c r="F1683" s="8">
        <v>13</v>
      </c>
      <c r="G1683" s="8">
        <v>14</v>
      </c>
      <c r="H1683" s="7" t="s">
        <v>1001</v>
      </c>
      <c r="I1683" s="7">
        <v>14</v>
      </c>
      <c r="J1683" s="7" t="s">
        <v>639</v>
      </c>
      <c r="K1683" s="7"/>
      <c r="L1683" s="7" t="s">
        <v>38</v>
      </c>
      <c r="M1683" s="7">
        <f t="shared" si="128"/>
        <v>0</v>
      </c>
      <c r="N1683" s="9"/>
      <c r="O1683" s="7"/>
      <c r="P1683" s="9"/>
      <c r="Q1683" s="7"/>
      <c r="R1683" s="7"/>
      <c r="S1683" s="7"/>
      <c r="T1683" s="7"/>
      <c r="U1683" s="7"/>
      <c r="V1683" s="7"/>
      <c r="W1683" s="7"/>
      <c r="X1683" s="7"/>
      <c r="Y1683" s="7"/>
      <c r="Z1683" s="7"/>
      <c r="AA1683" s="7"/>
      <c r="AB1683" s="7">
        <v>0.33333333333333298</v>
      </c>
      <c r="AC1683" s="7">
        <f t="shared" si="129"/>
        <v>0</v>
      </c>
      <c r="AD1683" s="7"/>
      <c r="AE1683" s="7"/>
      <c r="AF1683" s="7"/>
      <c r="AG1683" s="7"/>
      <c r="AH1683" s="7"/>
      <c r="AI1683" s="7"/>
      <c r="AJ1683" s="7"/>
      <c r="AK1683" s="7"/>
      <c r="AL1683" s="9"/>
      <c r="AM1683" s="7"/>
      <c r="AN1683" s="7"/>
      <c r="AO1683" s="15" t="s">
        <v>2818</v>
      </c>
    </row>
    <row r="1684" spans="1:41" s="11" customFormat="1" x14ac:dyDescent="0.25">
      <c r="A1684" s="2">
        <v>1683</v>
      </c>
      <c r="B1684" s="7" t="s">
        <v>370</v>
      </c>
      <c r="C1684" s="7" t="s">
        <v>577</v>
      </c>
      <c r="D1684" s="7">
        <v>72</v>
      </c>
      <c r="E1684" s="7">
        <v>72</v>
      </c>
      <c r="F1684" s="8">
        <v>4</v>
      </c>
      <c r="G1684" s="8">
        <v>4</v>
      </c>
      <c r="H1684" s="7" t="s">
        <v>91</v>
      </c>
      <c r="I1684" s="7">
        <v>4</v>
      </c>
      <c r="J1684" s="7" t="s">
        <v>353</v>
      </c>
      <c r="K1684" s="7"/>
      <c r="L1684" s="7" t="s">
        <v>38</v>
      </c>
      <c r="M1684" s="7">
        <f t="shared" si="128"/>
        <v>0</v>
      </c>
      <c r="N1684" s="9"/>
      <c r="O1684" s="7"/>
      <c r="P1684" s="9"/>
      <c r="Q1684" s="7"/>
      <c r="R1684" s="7"/>
      <c r="S1684" s="7"/>
      <c r="T1684" s="7"/>
      <c r="U1684" s="7"/>
      <c r="V1684" s="7"/>
      <c r="W1684" s="7"/>
      <c r="X1684" s="7"/>
      <c r="Y1684" s="7"/>
      <c r="Z1684" s="7"/>
      <c r="AA1684" s="7"/>
      <c r="AB1684" s="7">
        <v>0.33333333333333298</v>
      </c>
      <c r="AC1684" s="7">
        <f t="shared" si="129"/>
        <v>0</v>
      </c>
      <c r="AD1684" s="7"/>
      <c r="AE1684" s="7"/>
      <c r="AF1684" s="7"/>
      <c r="AG1684" s="7"/>
      <c r="AH1684" s="7"/>
      <c r="AI1684" s="7"/>
      <c r="AJ1684" s="7"/>
      <c r="AK1684" s="7"/>
      <c r="AL1684" s="9"/>
      <c r="AM1684" s="7"/>
      <c r="AN1684" s="7"/>
      <c r="AO1684" s="12"/>
    </row>
    <row r="1685" spans="1:41" s="11" customFormat="1" x14ac:dyDescent="0.25">
      <c r="A1685" s="2">
        <v>1684</v>
      </c>
      <c r="B1685" s="7" t="s">
        <v>379</v>
      </c>
      <c r="C1685" s="7" t="s">
        <v>577</v>
      </c>
      <c r="D1685" s="7">
        <v>217</v>
      </c>
      <c r="E1685" s="7">
        <v>217</v>
      </c>
      <c r="F1685" s="8">
        <v>17</v>
      </c>
      <c r="G1685" s="8">
        <v>17</v>
      </c>
      <c r="H1685" s="7" t="s">
        <v>768</v>
      </c>
      <c r="I1685" s="7">
        <v>17</v>
      </c>
      <c r="J1685" s="7" t="s">
        <v>639</v>
      </c>
      <c r="K1685" s="7"/>
      <c r="L1685" s="7" t="s">
        <v>38</v>
      </c>
      <c r="M1685" s="7">
        <f t="shared" si="128"/>
        <v>0</v>
      </c>
      <c r="N1685" s="9"/>
      <c r="O1685" s="7"/>
      <c r="P1685" s="9"/>
      <c r="Q1685" s="7"/>
      <c r="R1685" s="7"/>
      <c r="S1685" s="7"/>
      <c r="T1685" s="7"/>
      <c r="U1685" s="7"/>
      <c r="V1685" s="7"/>
      <c r="W1685" s="7"/>
      <c r="X1685" s="7"/>
      <c r="Y1685" s="7"/>
      <c r="Z1685" s="7"/>
      <c r="AA1685" s="7"/>
      <c r="AB1685" s="7">
        <v>0.33333333333333298</v>
      </c>
      <c r="AC1685" s="7">
        <f t="shared" si="129"/>
        <v>0</v>
      </c>
      <c r="AD1685" s="7"/>
      <c r="AE1685" s="7"/>
      <c r="AF1685" s="7"/>
      <c r="AG1685" s="7"/>
      <c r="AH1685" s="7"/>
      <c r="AI1685" s="7"/>
      <c r="AJ1685" s="7"/>
      <c r="AK1685" s="7"/>
      <c r="AL1685" s="9"/>
      <c r="AM1685" s="7"/>
      <c r="AN1685" s="7"/>
      <c r="AO1685" s="15" t="s">
        <v>2819</v>
      </c>
    </row>
    <row r="1686" spans="1:41" s="11" customFormat="1" x14ac:dyDescent="0.25">
      <c r="A1686" s="2">
        <v>1685</v>
      </c>
      <c r="B1686" s="7" t="s">
        <v>379</v>
      </c>
      <c r="C1686" s="7" t="s">
        <v>89</v>
      </c>
      <c r="D1686" s="7">
        <v>190</v>
      </c>
      <c r="E1686" s="7">
        <v>190</v>
      </c>
      <c r="F1686" s="8">
        <v>2</v>
      </c>
      <c r="G1686" s="8">
        <v>3</v>
      </c>
      <c r="H1686" s="7" t="s">
        <v>293</v>
      </c>
      <c r="I1686" s="7">
        <v>3</v>
      </c>
      <c r="J1686" s="7" t="s">
        <v>353</v>
      </c>
      <c r="K1686" s="7"/>
      <c r="L1686" s="7" t="s">
        <v>38</v>
      </c>
      <c r="M1686" s="7">
        <f t="shared" si="128"/>
        <v>0</v>
      </c>
      <c r="N1686" s="9"/>
      <c r="O1686" s="7"/>
      <c r="P1686" s="9"/>
      <c r="Q1686" s="7"/>
      <c r="R1686" s="7"/>
      <c r="S1686" s="7"/>
      <c r="T1686" s="7"/>
      <c r="U1686" s="7"/>
      <c r="V1686" s="7"/>
      <c r="W1686" s="7"/>
      <c r="X1686" s="7"/>
      <c r="Y1686" s="7"/>
      <c r="Z1686" s="7"/>
      <c r="AA1686" s="7"/>
      <c r="AB1686" s="7">
        <v>0.33333333333333298</v>
      </c>
      <c r="AC1686" s="7">
        <f t="shared" si="129"/>
        <v>0</v>
      </c>
      <c r="AD1686" s="7"/>
      <c r="AE1686" s="7"/>
      <c r="AF1686" s="7"/>
      <c r="AG1686" s="7"/>
      <c r="AH1686" s="7"/>
      <c r="AI1686" s="7"/>
      <c r="AJ1686" s="7"/>
      <c r="AK1686" s="7"/>
      <c r="AL1686" s="9"/>
      <c r="AM1686" s="7"/>
      <c r="AN1686" s="7"/>
      <c r="AO1686" s="12"/>
    </row>
    <row r="1687" spans="1:41" s="11" customFormat="1" x14ac:dyDescent="0.25">
      <c r="A1687" s="2">
        <v>1686</v>
      </c>
      <c r="B1687" s="7" t="s">
        <v>379</v>
      </c>
      <c r="C1687" s="7" t="s">
        <v>577</v>
      </c>
      <c r="D1687" s="7">
        <v>432</v>
      </c>
      <c r="E1687" s="7">
        <v>432</v>
      </c>
      <c r="F1687" s="8">
        <v>10</v>
      </c>
      <c r="G1687" s="8">
        <v>10</v>
      </c>
      <c r="H1687" s="7" t="s">
        <v>260</v>
      </c>
      <c r="I1687" s="7">
        <v>10</v>
      </c>
      <c r="J1687" s="7" t="s">
        <v>639</v>
      </c>
      <c r="K1687" s="7"/>
      <c r="L1687" s="7" t="s">
        <v>38</v>
      </c>
      <c r="M1687" s="7">
        <f t="shared" si="128"/>
        <v>0</v>
      </c>
      <c r="N1687" s="9"/>
      <c r="O1687" s="7"/>
      <c r="P1687" s="9"/>
      <c r="Q1687" s="7"/>
      <c r="R1687" s="7"/>
      <c r="S1687" s="7"/>
      <c r="T1687" s="7"/>
      <c r="U1687" s="7"/>
      <c r="V1687" s="7"/>
      <c r="W1687" s="7"/>
      <c r="X1687" s="7"/>
      <c r="Y1687" s="7"/>
      <c r="Z1687" s="7"/>
      <c r="AA1687" s="7"/>
      <c r="AB1687" s="7">
        <v>0.33333333333333298</v>
      </c>
      <c r="AC1687" s="7">
        <f t="shared" si="129"/>
        <v>0</v>
      </c>
      <c r="AD1687" s="7"/>
      <c r="AE1687" s="7"/>
      <c r="AF1687" s="7"/>
      <c r="AG1687" s="7"/>
      <c r="AH1687" s="7"/>
      <c r="AI1687" s="7"/>
      <c r="AJ1687" s="7"/>
      <c r="AK1687" s="7"/>
      <c r="AL1687" s="9"/>
      <c r="AM1687" s="7"/>
      <c r="AN1687" s="7"/>
      <c r="AO1687" s="15" t="s">
        <v>2820</v>
      </c>
    </row>
    <row r="1688" spans="1:41" s="11" customFormat="1" x14ac:dyDescent="0.25">
      <c r="A1688" s="2">
        <v>1687</v>
      </c>
      <c r="B1688" s="7" t="s">
        <v>379</v>
      </c>
      <c r="C1688" s="7" t="s">
        <v>577</v>
      </c>
      <c r="D1688" s="7">
        <v>154</v>
      </c>
      <c r="E1688" s="7">
        <v>154</v>
      </c>
      <c r="F1688" s="8">
        <v>6</v>
      </c>
      <c r="G1688" s="8">
        <v>5</v>
      </c>
      <c r="H1688" s="7" t="s">
        <v>345</v>
      </c>
      <c r="I1688" s="7">
        <v>5</v>
      </c>
      <c r="J1688" s="7" t="s">
        <v>353</v>
      </c>
      <c r="K1688" s="7"/>
      <c r="L1688" s="7" t="s">
        <v>38</v>
      </c>
      <c r="M1688" s="7">
        <f t="shared" si="128"/>
        <v>0</v>
      </c>
      <c r="N1688" s="9"/>
      <c r="O1688" s="7"/>
      <c r="P1688" s="9"/>
      <c r="Q1688" s="7"/>
      <c r="R1688" s="7"/>
      <c r="S1688" s="7"/>
      <c r="T1688" s="7"/>
      <c r="U1688" s="7"/>
      <c r="V1688" s="7"/>
      <c r="W1688" s="7"/>
      <c r="X1688" s="7"/>
      <c r="Y1688" s="7"/>
      <c r="Z1688" s="7"/>
      <c r="AA1688" s="7"/>
      <c r="AB1688" s="7">
        <v>0.33333333333333298</v>
      </c>
      <c r="AC1688" s="7">
        <f t="shared" si="129"/>
        <v>0</v>
      </c>
      <c r="AD1688" s="7"/>
      <c r="AE1688" s="7"/>
      <c r="AF1688" s="7"/>
      <c r="AG1688" s="7"/>
      <c r="AH1688" s="7"/>
      <c r="AI1688" s="7"/>
      <c r="AJ1688" s="7"/>
      <c r="AK1688" s="7"/>
      <c r="AL1688" s="9"/>
      <c r="AM1688" s="7"/>
      <c r="AN1688" s="7"/>
      <c r="AO1688" s="12"/>
    </row>
    <row r="1689" spans="1:41" s="11" customFormat="1" x14ac:dyDescent="0.25">
      <c r="A1689" s="2">
        <v>1688</v>
      </c>
      <c r="B1689" s="7" t="s">
        <v>379</v>
      </c>
      <c r="C1689" s="7" t="s">
        <v>577</v>
      </c>
      <c r="D1689" s="7">
        <v>342</v>
      </c>
      <c r="E1689" s="7">
        <v>342</v>
      </c>
      <c r="F1689" s="8">
        <v>17</v>
      </c>
      <c r="G1689" s="8">
        <v>17</v>
      </c>
      <c r="H1689" s="7" t="s">
        <v>768</v>
      </c>
      <c r="I1689" s="7">
        <v>17</v>
      </c>
      <c r="J1689" s="7" t="s">
        <v>639</v>
      </c>
      <c r="K1689" s="7"/>
      <c r="L1689" s="7" t="s">
        <v>38</v>
      </c>
      <c r="M1689" s="7">
        <f t="shared" si="128"/>
        <v>0</v>
      </c>
      <c r="N1689" s="9"/>
      <c r="O1689" s="7"/>
      <c r="P1689" s="9"/>
      <c r="Q1689" s="7"/>
      <c r="R1689" s="7"/>
      <c r="S1689" s="7"/>
      <c r="T1689" s="7"/>
      <c r="U1689" s="7"/>
      <c r="V1689" s="7"/>
      <c r="W1689" s="7"/>
      <c r="X1689" s="7"/>
      <c r="Y1689" s="7"/>
      <c r="Z1689" s="7"/>
      <c r="AA1689" s="7"/>
      <c r="AB1689" s="7">
        <v>0.33333333333333298</v>
      </c>
      <c r="AC1689" s="7">
        <f t="shared" si="129"/>
        <v>0</v>
      </c>
      <c r="AD1689" s="7"/>
      <c r="AE1689" s="7"/>
      <c r="AF1689" s="7"/>
      <c r="AG1689" s="7"/>
      <c r="AH1689" s="7"/>
      <c r="AI1689" s="7"/>
      <c r="AJ1689" s="7"/>
      <c r="AK1689" s="7"/>
      <c r="AL1689" s="9"/>
      <c r="AM1689" s="7"/>
      <c r="AN1689" s="7"/>
      <c r="AO1689" s="15" t="s">
        <v>2821</v>
      </c>
    </row>
    <row r="1690" spans="1:41" s="11" customFormat="1" x14ac:dyDescent="0.25">
      <c r="A1690" s="2">
        <v>1689</v>
      </c>
      <c r="B1690" s="7" t="s">
        <v>379</v>
      </c>
      <c r="C1690" s="7" t="s">
        <v>100</v>
      </c>
      <c r="D1690" s="7">
        <v>5</v>
      </c>
      <c r="E1690" s="7">
        <v>5</v>
      </c>
      <c r="F1690" s="8">
        <v>1</v>
      </c>
      <c r="G1690" s="8">
        <v>1</v>
      </c>
      <c r="H1690" s="7">
        <v>1</v>
      </c>
      <c r="I1690" s="7">
        <v>1</v>
      </c>
      <c r="J1690" s="7" t="s">
        <v>353</v>
      </c>
      <c r="K1690" s="7"/>
      <c r="L1690" s="7" t="s">
        <v>38</v>
      </c>
      <c r="M1690" s="7">
        <f t="shared" si="128"/>
        <v>0</v>
      </c>
      <c r="N1690" s="9"/>
      <c r="O1690" s="7"/>
      <c r="P1690" s="9"/>
      <c r="Q1690" s="7"/>
      <c r="R1690" s="7"/>
      <c r="S1690" s="7"/>
      <c r="T1690" s="7"/>
      <c r="U1690" s="7"/>
      <c r="V1690" s="7"/>
      <c r="W1690" s="7"/>
      <c r="X1690" s="7"/>
      <c r="Y1690" s="7"/>
      <c r="Z1690" s="7"/>
      <c r="AA1690" s="7"/>
      <c r="AB1690" s="7">
        <v>0.33333333333333298</v>
      </c>
      <c r="AC1690" s="7">
        <f t="shared" si="129"/>
        <v>0</v>
      </c>
      <c r="AD1690" s="7"/>
      <c r="AE1690" s="7"/>
      <c r="AF1690" s="7"/>
      <c r="AG1690" s="7"/>
      <c r="AH1690" s="7"/>
      <c r="AI1690" s="7"/>
      <c r="AJ1690" s="7"/>
      <c r="AK1690" s="7"/>
      <c r="AL1690" s="9"/>
      <c r="AM1690" s="7"/>
      <c r="AN1690" s="7"/>
      <c r="AO1690" s="12"/>
    </row>
    <row r="1691" spans="1:41" s="11" customFormat="1" x14ac:dyDescent="0.25">
      <c r="A1691" s="2">
        <v>1690</v>
      </c>
      <c r="B1691" s="7" t="s">
        <v>379</v>
      </c>
      <c r="C1691" s="7" t="s">
        <v>50</v>
      </c>
      <c r="D1691" s="7">
        <v>57</v>
      </c>
      <c r="E1691" s="7">
        <v>57</v>
      </c>
      <c r="F1691" s="8">
        <v>1</v>
      </c>
      <c r="G1691" s="8">
        <v>1</v>
      </c>
      <c r="H1691" s="7">
        <v>1</v>
      </c>
      <c r="I1691" s="7">
        <v>1</v>
      </c>
      <c r="J1691" s="7" t="s">
        <v>219</v>
      </c>
      <c r="K1691" s="7">
        <v>2</v>
      </c>
      <c r="L1691" s="7" t="s">
        <v>52</v>
      </c>
      <c r="M1691" s="7">
        <f t="shared" si="128"/>
        <v>1</v>
      </c>
      <c r="N1691" s="9" t="s">
        <v>34</v>
      </c>
      <c r="O1691" s="7">
        <v>0</v>
      </c>
      <c r="P1691" s="9" t="s">
        <v>36</v>
      </c>
      <c r="Q1691" s="7" t="s">
        <v>38</v>
      </c>
      <c r="R1691" s="7" t="s">
        <v>38</v>
      </c>
      <c r="S1691" s="10" t="s">
        <v>2254</v>
      </c>
      <c r="T1691" s="7"/>
      <c r="U1691" s="7"/>
      <c r="V1691" s="7"/>
      <c r="W1691" s="7"/>
      <c r="X1691" s="7"/>
      <c r="Y1691" s="7">
        <v>10</v>
      </c>
      <c r="Z1691" s="7">
        <v>10</v>
      </c>
      <c r="AA1691" s="7">
        <v>170</v>
      </c>
      <c r="AB1691" s="7">
        <f>(U1691+X1691+Z1691)/3</f>
        <v>3.3333333333333335</v>
      </c>
      <c r="AC1691" s="7">
        <f t="shared" si="129"/>
        <v>3.3333333333333335</v>
      </c>
      <c r="AD1691" s="7"/>
      <c r="AE1691" s="7"/>
      <c r="AF1691" s="7"/>
      <c r="AG1691" s="7"/>
      <c r="AH1691" s="7"/>
      <c r="AI1691" s="7"/>
      <c r="AJ1691" s="7"/>
      <c r="AK1691" s="7"/>
      <c r="AL1691" s="9"/>
      <c r="AM1691" s="7" t="s">
        <v>1460</v>
      </c>
      <c r="AN1691" s="7" t="s">
        <v>662</v>
      </c>
      <c r="AO1691" s="12"/>
    </row>
    <row r="1692" spans="1:41" s="11" customFormat="1" x14ac:dyDescent="0.25">
      <c r="A1692" s="2">
        <v>1691</v>
      </c>
      <c r="B1692" s="7" t="s">
        <v>379</v>
      </c>
      <c r="C1692" s="7" t="s">
        <v>577</v>
      </c>
      <c r="D1692" s="7">
        <v>231</v>
      </c>
      <c r="E1692" s="7">
        <v>231</v>
      </c>
      <c r="F1692" s="8">
        <v>17</v>
      </c>
      <c r="G1692" s="8">
        <v>17</v>
      </c>
      <c r="H1692" s="7" t="s">
        <v>768</v>
      </c>
      <c r="I1692" s="7">
        <v>17</v>
      </c>
      <c r="J1692" s="7" t="s">
        <v>639</v>
      </c>
      <c r="K1692" s="7"/>
      <c r="L1692" s="7" t="s">
        <v>38</v>
      </c>
      <c r="M1692" s="7">
        <f t="shared" si="128"/>
        <v>0</v>
      </c>
      <c r="N1692" s="9"/>
      <c r="O1692" s="7"/>
      <c r="P1692" s="9"/>
      <c r="Q1692" s="7"/>
      <c r="R1692" s="7"/>
      <c r="S1692" s="7"/>
      <c r="T1692" s="7"/>
      <c r="U1692" s="7"/>
      <c r="V1692" s="7"/>
      <c r="W1692" s="7"/>
      <c r="X1692" s="7"/>
      <c r="Y1692" s="7"/>
      <c r="Z1692" s="7"/>
      <c r="AA1692" s="7"/>
      <c r="AB1692" s="7">
        <v>0.33333333333333298</v>
      </c>
      <c r="AC1692" s="7">
        <f t="shared" si="129"/>
        <v>0</v>
      </c>
      <c r="AD1692" s="7"/>
      <c r="AE1692" s="7"/>
      <c r="AF1692" s="7"/>
      <c r="AG1692" s="7"/>
      <c r="AH1692" s="7"/>
      <c r="AI1692" s="7"/>
      <c r="AJ1692" s="7"/>
      <c r="AK1692" s="7"/>
      <c r="AL1692" s="9"/>
      <c r="AM1692" s="7"/>
      <c r="AN1692" s="7"/>
      <c r="AO1692" s="15" t="s">
        <v>2822</v>
      </c>
    </row>
    <row r="1693" spans="1:41" s="11" customFormat="1" x14ac:dyDescent="0.25">
      <c r="A1693" s="2">
        <v>1692</v>
      </c>
      <c r="B1693" s="7" t="s">
        <v>379</v>
      </c>
      <c r="C1693" s="7" t="s">
        <v>89</v>
      </c>
      <c r="D1693" s="7">
        <v>145</v>
      </c>
      <c r="E1693" s="7">
        <v>145</v>
      </c>
      <c r="F1693" s="8">
        <v>2</v>
      </c>
      <c r="G1693" s="8">
        <v>3</v>
      </c>
      <c r="H1693" s="7" t="s">
        <v>293</v>
      </c>
      <c r="I1693" s="7">
        <v>3</v>
      </c>
      <c r="J1693" s="7" t="s">
        <v>353</v>
      </c>
      <c r="K1693" s="7"/>
      <c r="L1693" s="7" t="s">
        <v>38</v>
      </c>
      <c r="M1693" s="7">
        <f t="shared" si="128"/>
        <v>0</v>
      </c>
      <c r="N1693" s="9"/>
      <c r="O1693" s="7"/>
      <c r="P1693" s="9"/>
      <c r="Q1693" s="7"/>
      <c r="R1693" s="7"/>
      <c r="S1693" s="7"/>
      <c r="T1693" s="7"/>
      <c r="U1693" s="7"/>
      <c r="V1693" s="7"/>
      <c r="W1693" s="7"/>
      <c r="X1693" s="7"/>
      <c r="Y1693" s="7"/>
      <c r="Z1693" s="7"/>
      <c r="AA1693" s="7"/>
      <c r="AB1693" s="7">
        <v>0.33333333333333298</v>
      </c>
      <c r="AC1693" s="7">
        <f t="shared" si="129"/>
        <v>0</v>
      </c>
      <c r="AD1693" s="7"/>
      <c r="AE1693" s="7"/>
      <c r="AF1693" s="7"/>
      <c r="AG1693" s="7"/>
      <c r="AH1693" s="7"/>
      <c r="AI1693" s="7"/>
      <c r="AJ1693" s="7"/>
      <c r="AK1693" s="7"/>
      <c r="AL1693" s="9"/>
      <c r="AM1693" s="7"/>
      <c r="AN1693" s="7"/>
      <c r="AO1693" s="12"/>
    </row>
    <row r="1694" spans="1:41" s="11" customFormat="1" x14ac:dyDescent="0.25">
      <c r="A1694" s="2">
        <v>1693</v>
      </c>
      <c r="B1694" s="7" t="s">
        <v>379</v>
      </c>
      <c r="C1694" s="7" t="s">
        <v>577</v>
      </c>
      <c r="D1694" s="7">
        <v>91</v>
      </c>
      <c r="E1694" s="7">
        <v>91</v>
      </c>
      <c r="F1694" s="8">
        <v>4</v>
      </c>
      <c r="G1694" s="8">
        <v>4</v>
      </c>
      <c r="H1694" s="7" t="s">
        <v>91</v>
      </c>
      <c r="I1694" s="7">
        <v>4</v>
      </c>
      <c r="J1694" s="7" t="s">
        <v>639</v>
      </c>
      <c r="K1694" s="7"/>
      <c r="L1694" s="7" t="s">
        <v>38</v>
      </c>
      <c r="M1694" s="7">
        <f t="shared" si="128"/>
        <v>0</v>
      </c>
      <c r="N1694" s="9"/>
      <c r="O1694" s="7"/>
      <c r="P1694" s="9"/>
      <c r="Q1694" s="7"/>
      <c r="R1694" s="7"/>
      <c r="S1694" s="7"/>
      <c r="T1694" s="7"/>
      <c r="U1694" s="7"/>
      <c r="V1694" s="7"/>
      <c r="W1694" s="7"/>
      <c r="X1694" s="7"/>
      <c r="Y1694" s="7"/>
      <c r="Z1694" s="7"/>
      <c r="AA1694" s="7"/>
      <c r="AB1694" s="7">
        <v>0.33333333333333298</v>
      </c>
      <c r="AC1694" s="7">
        <f t="shared" si="129"/>
        <v>0</v>
      </c>
      <c r="AD1694" s="7"/>
      <c r="AE1694" s="7"/>
      <c r="AF1694" s="7"/>
      <c r="AG1694" s="7"/>
      <c r="AH1694" s="7"/>
      <c r="AI1694" s="7"/>
      <c r="AJ1694" s="7"/>
      <c r="AK1694" s="7"/>
      <c r="AL1694" s="9"/>
      <c r="AM1694" s="7"/>
      <c r="AN1694" s="7"/>
      <c r="AO1694" s="15" t="s">
        <v>2823</v>
      </c>
    </row>
    <row r="1695" spans="1:41" s="11" customFormat="1" x14ac:dyDescent="0.25">
      <c r="A1695" s="2">
        <v>1694</v>
      </c>
      <c r="B1695" s="7" t="s">
        <v>379</v>
      </c>
      <c r="C1695" s="7" t="s">
        <v>577</v>
      </c>
      <c r="D1695" s="7">
        <v>14</v>
      </c>
      <c r="E1695" s="7">
        <v>14</v>
      </c>
      <c r="F1695" s="8">
        <v>2</v>
      </c>
      <c r="G1695" s="8">
        <v>2</v>
      </c>
      <c r="H1695" s="7" t="s">
        <v>87</v>
      </c>
      <c r="I1695" s="7">
        <v>2</v>
      </c>
      <c r="J1695" s="7" t="s">
        <v>353</v>
      </c>
      <c r="K1695" s="7"/>
      <c r="L1695" s="7" t="s">
        <v>38</v>
      </c>
      <c r="M1695" s="7">
        <f t="shared" si="128"/>
        <v>0</v>
      </c>
      <c r="N1695" s="9"/>
      <c r="O1695" s="7"/>
      <c r="P1695" s="9"/>
      <c r="Q1695" s="7"/>
      <c r="R1695" s="7"/>
      <c r="S1695" s="7"/>
      <c r="T1695" s="7"/>
      <c r="U1695" s="7"/>
      <c r="V1695" s="7"/>
      <c r="W1695" s="7"/>
      <c r="X1695" s="7"/>
      <c r="Y1695" s="7"/>
      <c r="Z1695" s="7"/>
      <c r="AA1695" s="7"/>
      <c r="AB1695" s="7">
        <v>0.33333333333333298</v>
      </c>
      <c r="AC1695" s="7">
        <f t="shared" si="129"/>
        <v>0</v>
      </c>
      <c r="AD1695" s="7"/>
      <c r="AE1695" s="7"/>
      <c r="AF1695" s="7"/>
      <c r="AG1695" s="7"/>
      <c r="AH1695" s="7"/>
      <c r="AI1695" s="7"/>
      <c r="AJ1695" s="7"/>
      <c r="AK1695" s="7"/>
      <c r="AL1695" s="9"/>
      <c r="AM1695" s="7"/>
      <c r="AN1695" s="7"/>
      <c r="AO1695" s="12"/>
    </row>
    <row r="1696" spans="1:41" s="11" customFormat="1" x14ac:dyDescent="0.25">
      <c r="A1696" s="2">
        <v>1695</v>
      </c>
      <c r="B1696" s="7" t="s">
        <v>419</v>
      </c>
      <c r="C1696" s="7" t="s">
        <v>577</v>
      </c>
      <c r="D1696" s="7">
        <v>458</v>
      </c>
      <c r="E1696" s="7">
        <v>458</v>
      </c>
      <c r="F1696" s="8">
        <v>23</v>
      </c>
      <c r="G1696" s="8">
        <v>26</v>
      </c>
      <c r="H1696" s="7" t="s">
        <v>1461</v>
      </c>
      <c r="I1696" s="7">
        <v>26</v>
      </c>
      <c r="J1696" s="7" t="s">
        <v>639</v>
      </c>
      <c r="K1696" s="7"/>
      <c r="L1696" s="7" t="s">
        <v>38</v>
      </c>
      <c r="M1696" s="7">
        <f t="shared" si="128"/>
        <v>0</v>
      </c>
      <c r="N1696" s="9"/>
      <c r="O1696" s="7"/>
      <c r="P1696" s="9"/>
      <c r="Q1696" s="7"/>
      <c r="R1696" s="7"/>
      <c r="S1696" s="7"/>
      <c r="T1696" s="7"/>
      <c r="U1696" s="7"/>
      <c r="V1696" s="7"/>
      <c r="W1696" s="7"/>
      <c r="X1696" s="7"/>
      <c r="Y1696" s="7"/>
      <c r="Z1696" s="7"/>
      <c r="AA1696" s="7"/>
      <c r="AB1696" s="7">
        <v>0.33333333333333298</v>
      </c>
      <c r="AC1696" s="7">
        <f t="shared" si="129"/>
        <v>0</v>
      </c>
      <c r="AD1696" s="7"/>
      <c r="AE1696" s="7"/>
      <c r="AF1696" s="7"/>
      <c r="AG1696" s="7"/>
      <c r="AH1696" s="7"/>
      <c r="AI1696" s="7"/>
      <c r="AJ1696" s="7"/>
      <c r="AK1696" s="7"/>
      <c r="AL1696" s="9"/>
      <c r="AM1696" s="7"/>
      <c r="AN1696" s="7"/>
      <c r="AO1696" s="15" t="s">
        <v>2824</v>
      </c>
    </row>
    <row r="1697" spans="1:41" s="11" customFormat="1" x14ac:dyDescent="0.25">
      <c r="A1697" s="2">
        <v>1696</v>
      </c>
      <c r="B1697" s="7" t="s">
        <v>419</v>
      </c>
      <c r="C1697" s="7" t="s">
        <v>577</v>
      </c>
      <c r="D1697" s="7">
        <v>94</v>
      </c>
      <c r="E1697" s="7">
        <v>94</v>
      </c>
      <c r="F1697" s="8">
        <v>4</v>
      </c>
      <c r="G1697" s="8">
        <v>4</v>
      </c>
      <c r="H1697" s="7" t="s">
        <v>91</v>
      </c>
      <c r="I1697" s="7">
        <v>4</v>
      </c>
      <c r="J1697" s="7" t="s">
        <v>353</v>
      </c>
      <c r="K1697" s="7"/>
      <c r="L1697" s="7" t="s">
        <v>38</v>
      </c>
      <c r="M1697" s="7">
        <f t="shared" si="128"/>
        <v>0</v>
      </c>
      <c r="N1697" s="9"/>
      <c r="O1697" s="7"/>
      <c r="P1697" s="9"/>
      <c r="Q1697" s="7"/>
      <c r="R1697" s="7"/>
      <c r="S1697" s="7"/>
      <c r="T1697" s="7"/>
      <c r="U1697" s="7"/>
      <c r="V1697" s="7"/>
      <c r="W1697" s="7"/>
      <c r="X1697" s="7"/>
      <c r="Y1697" s="7"/>
      <c r="Z1697" s="7"/>
      <c r="AA1697" s="7"/>
      <c r="AB1697" s="7">
        <v>0.33333333333333298</v>
      </c>
      <c r="AC1697" s="7">
        <f t="shared" si="129"/>
        <v>0</v>
      </c>
      <c r="AD1697" s="7"/>
      <c r="AE1697" s="7"/>
      <c r="AF1697" s="7"/>
      <c r="AG1697" s="7"/>
      <c r="AH1697" s="7"/>
      <c r="AI1697" s="7"/>
      <c r="AJ1697" s="7"/>
      <c r="AK1697" s="7"/>
      <c r="AL1697" s="9"/>
      <c r="AM1697" s="7"/>
      <c r="AN1697" s="7"/>
      <c r="AO1697" s="12"/>
    </row>
    <row r="1698" spans="1:41" s="11" customFormat="1" x14ac:dyDescent="0.25">
      <c r="A1698" s="2">
        <v>1697</v>
      </c>
      <c r="B1698" s="7" t="s">
        <v>471</v>
      </c>
      <c r="C1698" s="7" t="s">
        <v>577</v>
      </c>
      <c r="D1698" s="7">
        <f>470+280</f>
        <v>750</v>
      </c>
      <c r="E1698" s="7">
        <f>470+280</f>
        <v>750</v>
      </c>
      <c r="F1698" s="8">
        <v>44</v>
      </c>
      <c r="G1698" s="8">
        <v>47</v>
      </c>
      <c r="H1698" s="7" t="s">
        <v>1462</v>
      </c>
      <c r="I1698" s="7">
        <v>47</v>
      </c>
      <c r="J1698" s="7" t="s">
        <v>639</v>
      </c>
      <c r="K1698" s="7"/>
      <c r="L1698" s="7" t="s">
        <v>38</v>
      </c>
      <c r="M1698" s="7">
        <f t="shared" si="128"/>
        <v>0</v>
      </c>
      <c r="N1698" s="9"/>
      <c r="O1698" s="7"/>
      <c r="P1698" s="9"/>
      <c r="Q1698" s="7"/>
      <c r="R1698" s="7"/>
      <c r="S1698" s="7"/>
      <c r="T1698" s="7"/>
      <c r="U1698" s="7"/>
      <c r="V1698" s="7"/>
      <c r="W1698" s="7"/>
      <c r="X1698" s="7"/>
      <c r="Y1698" s="7"/>
      <c r="Z1698" s="7"/>
      <c r="AA1698" s="7"/>
      <c r="AB1698" s="7">
        <v>0.33333333333333298</v>
      </c>
      <c r="AC1698" s="7">
        <f t="shared" si="129"/>
        <v>0</v>
      </c>
      <c r="AD1698" s="7"/>
      <c r="AE1698" s="7"/>
      <c r="AF1698" s="7"/>
      <c r="AG1698" s="7"/>
      <c r="AH1698" s="7"/>
      <c r="AI1698" s="7"/>
      <c r="AJ1698" s="7"/>
      <c r="AK1698" s="7"/>
      <c r="AL1698" s="9"/>
      <c r="AM1698" s="7"/>
      <c r="AN1698" s="7"/>
      <c r="AO1698" s="15" t="s">
        <v>2825</v>
      </c>
    </row>
    <row r="1699" spans="1:41" s="11" customFormat="1" x14ac:dyDescent="0.25">
      <c r="A1699" s="2">
        <v>1698</v>
      </c>
      <c r="B1699" s="7" t="s">
        <v>471</v>
      </c>
      <c r="C1699" s="7" t="s">
        <v>577</v>
      </c>
      <c r="D1699" s="7">
        <v>118</v>
      </c>
      <c r="E1699" s="7">
        <v>118</v>
      </c>
      <c r="F1699" s="8">
        <v>6</v>
      </c>
      <c r="G1699" s="8">
        <v>6</v>
      </c>
      <c r="H1699" s="7" t="s">
        <v>397</v>
      </c>
      <c r="I1699" s="7">
        <v>6</v>
      </c>
      <c r="J1699" s="7" t="s">
        <v>353</v>
      </c>
      <c r="K1699" s="7"/>
      <c r="L1699" s="7" t="s">
        <v>38</v>
      </c>
      <c r="M1699" s="7">
        <f t="shared" si="128"/>
        <v>0</v>
      </c>
      <c r="N1699" s="9"/>
      <c r="O1699" s="7"/>
      <c r="P1699" s="9"/>
      <c r="Q1699" s="7"/>
      <c r="R1699" s="7"/>
      <c r="S1699" s="7"/>
      <c r="T1699" s="7"/>
      <c r="U1699" s="7"/>
      <c r="V1699" s="7"/>
      <c r="W1699" s="7"/>
      <c r="X1699" s="7"/>
      <c r="Y1699" s="7"/>
      <c r="Z1699" s="7"/>
      <c r="AA1699" s="7"/>
      <c r="AB1699" s="7">
        <v>0.33333333333333298</v>
      </c>
      <c r="AC1699" s="7">
        <f t="shared" si="129"/>
        <v>0</v>
      </c>
      <c r="AD1699" s="7"/>
      <c r="AE1699" s="7"/>
      <c r="AF1699" s="7"/>
      <c r="AG1699" s="7"/>
      <c r="AH1699" s="7"/>
      <c r="AI1699" s="7"/>
      <c r="AJ1699" s="7"/>
      <c r="AK1699" s="7"/>
      <c r="AL1699" s="9"/>
      <c r="AM1699" s="7"/>
      <c r="AN1699" s="7"/>
      <c r="AO1699" s="12"/>
    </row>
    <row r="1700" spans="1:41" s="11" customFormat="1" x14ac:dyDescent="0.25">
      <c r="A1700" s="2">
        <v>1699</v>
      </c>
      <c r="B1700" s="7" t="s">
        <v>545</v>
      </c>
      <c r="C1700" s="7" t="s">
        <v>577</v>
      </c>
      <c r="D1700" s="7">
        <v>135</v>
      </c>
      <c r="E1700" s="7">
        <v>135</v>
      </c>
      <c r="F1700" s="8">
        <v>9</v>
      </c>
      <c r="G1700" s="8">
        <v>9</v>
      </c>
      <c r="H1700" s="7" t="s">
        <v>1153</v>
      </c>
      <c r="I1700" s="7">
        <v>9</v>
      </c>
      <c r="J1700" s="7" t="s">
        <v>639</v>
      </c>
      <c r="K1700" s="7"/>
      <c r="L1700" s="7" t="s">
        <v>38</v>
      </c>
      <c r="M1700" s="7">
        <f t="shared" si="128"/>
        <v>0</v>
      </c>
      <c r="N1700" s="9"/>
      <c r="O1700" s="7"/>
      <c r="P1700" s="9"/>
      <c r="Q1700" s="7"/>
      <c r="R1700" s="7"/>
      <c r="S1700" s="7"/>
      <c r="T1700" s="7"/>
      <c r="U1700" s="7"/>
      <c r="V1700" s="7"/>
      <c r="W1700" s="7"/>
      <c r="X1700" s="7"/>
      <c r="Y1700" s="7"/>
      <c r="Z1700" s="7"/>
      <c r="AA1700" s="7"/>
      <c r="AB1700" s="7">
        <v>0.33333333333333298</v>
      </c>
      <c r="AC1700" s="7">
        <f t="shared" si="129"/>
        <v>0</v>
      </c>
      <c r="AD1700" s="7"/>
      <c r="AE1700" s="7"/>
      <c r="AF1700" s="7"/>
      <c r="AG1700" s="7"/>
      <c r="AH1700" s="7"/>
      <c r="AI1700" s="7"/>
      <c r="AJ1700" s="7"/>
      <c r="AK1700" s="7"/>
      <c r="AL1700" s="9"/>
      <c r="AM1700" s="7"/>
      <c r="AN1700" s="7"/>
      <c r="AO1700" s="15" t="s">
        <v>2826</v>
      </c>
    </row>
    <row r="1701" spans="1:41" s="11" customFormat="1" x14ac:dyDescent="0.25">
      <c r="A1701" s="2">
        <v>1700</v>
      </c>
      <c r="B1701" s="7" t="s">
        <v>545</v>
      </c>
      <c r="C1701" s="7" t="s">
        <v>577</v>
      </c>
      <c r="D1701" s="7">
        <v>36</v>
      </c>
      <c r="E1701" s="7">
        <v>36</v>
      </c>
      <c r="F1701" s="8">
        <v>2</v>
      </c>
      <c r="G1701" s="8">
        <v>2</v>
      </c>
      <c r="H1701" s="7" t="s">
        <v>87</v>
      </c>
      <c r="I1701" s="7">
        <v>2</v>
      </c>
      <c r="J1701" s="7" t="s">
        <v>353</v>
      </c>
      <c r="K1701" s="7"/>
      <c r="L1701" s="7" t="s">
        <v>38</v>
      </c>
      <c r="M1701" s="7">
        <f t="shared" si="128"/>
        <v>0</v>
      </c>
      <c r="N1701" s="9"/>
      <c r="O1701" s="7"/>
      <c r="P1701" s="9"/>
      <c r="Q1701" s="7"/>
      <c r="R1701" s="7"/>
      <c r="S1701" s="7"/>
      <c r="T1701" s="7"/>
      <c r="U1701" s="7"/>
      <c r="V1701" s="7"/>
      <c r="W1701" s="7"/>
      <c r="X1701" s="7"/>
      <c r="Y1701" s="7"/>
      <c r="Z1701" s="7"/>
      <c r="AA1701" s="7"/>
      <c r="AB1701" s="7">
        <v>0.33333333333333298</v>
      </c>
      <c r="AC1701" s="7">
        <f t="shared" si="129"/>
        <v>0</v>
      </c>
      <c r="AD1701" s="7"/>
      <c r="AE1701" s="7"/>
      <c r="AF1701" s="7"/>
      <c r="AG1701" s="7"/>
      <c r="AH1701" s="7"/>
      <c r="AI1701" s="7"/>
      <c r="AJ1701" s="7"/>
      <c r="AK1701" s="7"/>
      <c r="AL1701" s="9"/>
      <c r="AM1701" s="7"/>
      <c r="AN1701" s="7"/>
      <c r="AO1701" s="12"/>
    </row>
    <row r="1702" spans="1:41" s="11" customFormat="1" x14ac:dyDescent="0.25">
      <c r="A1702" s="2">
        <v>1701</v>
      </c>
      <c r="B1702" s="7" t="s">
        <v>1463</v>
      </c>
      <c r="C1702" s="7" t="s">
        <v>577</v>
      </c>
      <c r="D1702" s="7">
        <v>67</v>
      </c>
      <c r="E1702" s="7">
        <v>67</v>
      </c>
      <c r="F1702" s="8">
        <v>8</v>
      </c>
      <c r="G1702" s="8">
        <v>8</v>
      </c>
      <c r="H1702" s="7" t="s">
        <v>258</v>
      </c>
      <c r="I1702" s="7">
        <v>8</v>
      </c>
      <c r="J1702" s="7" t="s">
        <v>639</v>
      </c>
      <c r="K1702" s="7"/>
      <c r="L1702" s="7" t="s">
        <v>38</v>
      </c>
      <c r="M1702" s="7">
        <f t="shared" si="128"/>
        <v>0</v>
      </c>
      <c r="N1702" s="9"/>
      <c r="O1702" s="7"/>
      <c r="P1702" s="9"/>
      <c r="Q1702" s="7"/>
      <c r="R1702" s="7"/>
      <c r="S1702" s="7"/>
      <c r="T1702" s="7"/>
      <c r="U1702" s="7"/>
      <c r="V1702" s="7"/>
      <c r="W1702" s="7"/>
      <c r="X1702" s="7"/>
      <c r="Y1702" s="7"/>
      <c r="Z1702" s="7"/>
      <c r="AA1702" s="7"/>
      <c r="AB1702" s="7">
        <v>0.33333333333333298</v>
      </c>
      <c r="AC1702" s="7">
        <f t="shared" si="129"/>
        <v>0</v>
      </c>
      <c r="AD1702" s="7"/>
      <c r="AE1702" s="7"/>
      <c r="AF1702" s="7"/>
      <c r="AG1702" s="7"/>
      <c r="AH1702" s="7"/>
      <c r="AI1702" s="7"/>
      <c r="AJ1702" s="7"/>
      <c r="AK1702" s="7"/>
      <c r="AL1702" s="9"/>
      <c r="AM1702" s="7"/>
      <c r="AN1702" s="7"/>
      <c r="AO1702" s="15" t="s">
        <v>2827</v>
      </c>
    </row>
    <row r="1703" spans="1:41" s="11" customFormat="1" x14ac:dyDescent="0.25">
      <c r="A1703" s="2">
        <v>1702</v>
      </c>
      <c r="B1703" s="7" t="s">
        <v>1463</v>
      </c>
      <c r="C1703" s="7" t="s">
        <v>577</v>
      </c>
      <c r="D1703" s="7">
        <v>40</v>
      </c>
      <c r="E1703" s="7">
        <v>40</v>
      </c>
      <c r="F1703" s="8">
        <v>3</v>
      </c>
      <c r="G1703" s="8">
        <v>3</v>
      </c>
      <c r="H1703" s="7" t="s">
        <v>97</v>
      </c>
      <c r="I1703" s="7">
        <v>3</v>
      </c>
      <c r="J1703" s="7" t="s">
        <v>353</v>
      </c>
      <c r="K1703" s="7"/>
      <c r="L1703" s="7" t="s">
        <v>38</v>
      </c>
      <c r="M1703" s="7">
        <f t="shared" si="128"/>
        <v>0</v>
      </c>
      <c r="N1703" s="9"/>
      <c r="O1703" s="7"/>
      <c r="P1703" s="9"/>
      <c r="Q1703" s="7"/>
      <c r="R1703" s="7"/>
      <c r="S1703" s="7"/>
      <c r="T1703" s="7"/>
      <c r="U1703" s="7"/>
      <c r="V1703" s="7"/>
      <c r="W1703" s="7"/>
      <c r="X1703" s="7"/>
      <c r="Y1703" s="7"/>
      <c r="Z1703" s="7"/>
      <c r="AA1703" s="7"/>
      <c r="AB1703" s="7">
        <v>0.33333333333333298</v>
      </c>
      <c r="AC1703" s="7">
        <f t="shared" si="129"/>
        <v>0</v>
      </c>
      <c r="AD1703" s="7"/>
      <c r="AE1703" s="7"/>
      <c r="AF1703" s="7"/>
      <c r="AG1703" s="7"/>
      <c r="AH1703" s="7"/>
      <c r="AI1703" s="7"/>
      <c r="AJ1703" s="7"/>
      <c r="AK1703" s="7"/>
      <c r="AL1703" s="9"/>
      <c r="AM1703" s="7"/>
      <c r="AN1703" s="7"/>
      <c r="AO1703" s="12"/>
    </row>
    <row r="1704" spans="1:41" s="11" customFormat="1" x14ac:dyDescent="0.25">
      <c r="A1704" s="2">
        <v>1703</v>
      </c>
      <c r="B1704" s="7" t="s">
        <v>518</v>
      </c>
      <c r="C1704" s="7" t="s">
        <v>577</v>
      </c>
      <c r="D1704" s="7">
        <v>87</v>
      </c>
      <c r="E1704" s="7">
        <v>87</v>
      </c>
      <c r="F1704" s="8">
        <v>3</v>
      </c>
      <c r="G1704" s="8">
        <v>3</v>
      </c>
      <c r="H1704" s="7" t="s">
        <v>97</v>
      </c>
      <c r="I1704" s="7">
        <v>3</v>
      </c>
      <c r="J1704" s="7" t="s">
        <v>639</v>
      </c>
      <c r="K1704" s="7"/>
      <c r="L1704" s="7" t="s">
        <v>38</v>
      </c>
      <c r="M1704" s="7">
        <f t="shared" si="128"/>
        <v>0</v>
      </c>
      <c r="N1704" s="9"/>
      <c r="O1704" s="7"/>
      <c r="P1704" s="9"/>
      <c r="Q1704" s="7"/>
      <c r="R1704" s="7"/>
      <c r="S1704" s="7"/>
      <c r="T1704" s="7"/>
      <c r="U1704" s="7"/>
      <c r="V1704" s="7"/>
      <c r="W1704" s="7"/>
      <c r="X1704" s="7"/>
      <c r="Y1704" s="7"/>
      <c r="Z1704" s="7"/>
      <c r="AA1704" s="7"/>
      <c r="AB1704" s="7">
        <v>0.33333333333333298</v>
      </c>
      <c r="AC1704" s="7">
        <f t="shared" si="129"/>
        <v>0</v>
      </c>
      <c r="AD1704" s="7"/>
      <c r="AE1704" s="7"/>
      <c r="AF1704" s="7"/>
      <c r="AG1704" s="7"/>
      <c r="AH1704" s="7"/>
      <c r="AI1704" s="7"/>
      <c r="AJ1704" s="7"/>
      <c r="AK1704" s="7"/>
      <c r="AL1704" s="9"/>
      <c r="AM1704" s="7"/>
      <c r="AN1704" s="7"/>
      <c r="AO1704" s="15" t="s">
        <v>2828</v>
      </c>
    </row>
    <row r="1705" spans="1:41" s="11" customFormat="1" ht="24" x14ac:dyDescent="0.25">
      <c r="A1705" s="2">
        <v>1704</v>
      </c>
      <c r="B1705" s="7" t="s">
        <v>1464</v>
      </c>
      <c r="C1705" s="7" t="s">
        <v>174</v>
      </c>
      <c r="D1705" s="7">
        <v>78</v>
      </c>
      <c r="E1705" s="7">
        <v>78</v>
      </c>
      <c r="F1705" s="8">
        <v>1</v>
      </c>
      <c r="G1705" s="9" t="s">
        <v>95</v>
      </c>
      <c r="H1705" s="7">
        <v>3</v>
      </c>
      <c r="I1705" s="7">
        <v>3</v>
      </c>
      <c r="J1705" s="7" t="s">
        <v>353</v>
      </c>
      <c r="K1705" s="7"/>
      <c r="L1705" s="7" t="s">
        <v>38</v>
      </c>
      <c r="M1705" s="7">
        <f t="shared" si="128"/>
        <v>0</v>
      </c>
      <c r="N1705" s="9"/>
      <c r="O1705" s="7"/>
      <c r="P1705" s="9"/>
      <c r="Q1705" s="7"/>
      <c r="R1705" s="7"/>
      <c r="S1705" s="7"/>
      <c r="T1705" s="7"/>
      <c r="U1705" s="7"/>
      <c r="V1705" s="7"/>
      <c r="W1705" s="7"/>
      <c r="X1705" s="7"/>
      <c r="Y1705" s="7"/>
      <c r="Z1705" s="7"/>
      <c r="AA1705" s="7"/>
      <c r="AB1705" s="7">
        <v>0.33333333333333298</v>
      </c>
      <c r="AC1705" s="7">
        <f t="shared" si="129"/>
        <v>0</v>
      </c>
      <c r="AD1705" s="7"/>
      <c r="AE1705" s="7"/>
      <c r="AF1705" s="7"/>
      <c r="AG1705" s="7"/>
      <c r="AH1705" s="7"/>
      <c r="AI1705" s="7"/>
      <c r="AJ1705" s="7"/>
      <c r="AK1705" s="7"/>
      <c r="AL1705" s="9"/>
      <c r="AM1705" s="7"/>
      <c r="AN1705" s="7"/>
      <c r="AO1705" s="12"/>
    </row>
    <row r="1706" spans="1:41" s="11" customFormat="1" x14ac:dyDescent="0.25">
      <c r="A1706" s="2">
        <v>1705</v>
      </c>
      <c r="B1706" s="7" t="s">
        <v>1465</v>
      </c>
      <c r="C1706" s="7" t="s">
        <v>89</v>
      </c>
      <c r="D1706" s="7">
        <v>45</v>
      </c>
      <c r="E1706" s="7">
        <v>45</v>
      </c>
      <c r="F1706" s="8">
        <v>1</v>
      </c>
      <c r="G1706" s="9" t="s">
        <v>196</v>
      </c>
      <c r="H1706" s="7">
        <v>2</v>
      </c>
      <c r="I1706" s="7">
        <v>2</v>
      </c>
      <c r="J1706" s="7" t="s">
        <v>353</v>
      </c>
      <c r="K1706" s="7"/>
      <c r="L1706" s="7" t="s">
        <v>38</v>
      </c>
      <c r="M1706" s="7">
        <f t="shared" si="128"/>
        <v>0</v>
      </c>
      <c r="N1706" s="9"/>
      <c r="O1706" s="7"/>
      <c r="P1706" s="9"/>
      <c r="Q1706" s="7"/>
      <c r="R1706" s="7"/>
      <c r="S1706" s="7"/>
      <c r="T1706" s="7"/>
      <c r="U1706" s="7"/>
      <c r="V1706" s="7"/>
      <c r="W1706" s="7"/>
      <c r="X1706" s="7"/>
      <c r="Y1706" s="7"/>
      <c r="Z1706" s="7"/>
      <c r="AA1706" s="7"/>
      <c r="AB1706" s="7">
        <v>0.33333333333333298</v>
      </c>
      <c r="AC1706" s="7">
        <f t="shared" si="129"/>
        <v>0</v>
      </c>
      <c r="AD1706" s="7"/>
      <c r="AE1706" s="7"/>
      <c r="AF1706" s="7"/>
      <c r="AG1706" s="7"/>
      <c r="AH1706" s="7"/>
      <c r="AI1706" s="7"/>
      <c r="AJ1706" s="7"/>
      <c r="AK1706" s="7"/>
      <c r="AL1706" s="9"/>
      <c r="AM1706" s="7"/>
      <c r="AN1706" s="7"/>
      <c r="AO1706" s="15" t="s">
        <v>2838</v>
      </c>
    </row>
    <row r="1707" spans="1:41" s="11" customFormat="1" x14ac:dyDescent="0.25">
      <c r="A1707" s="2">
        <v>1706</v>
      </c>
      <c r="B1707" s="7" t="s">
        <v>489</v>
      </c>
      <c r="C1707" s="7" t="s">
        <v>577</v>
      </c>
      <c r="D1707" s="7">
        <v>211</v>
      </c>
      <c r="E1707" s="7">
        <v>211</v>
      </c>
      <c r="F1707" s="8">
        <v>16</v>
      </c>
      <c r="G1707" s="8">
        <v>16</v>
      </c>
      <c r="H1707" s="7" t="s">
        <v>614</v>
      </c>
      <c r="I1707" s="7">
        <v>16</v>
      </c>
      <c r="J1707" s="7" t="s">
        <v>639</v>
      </c>
      <c r="K1707" s="7"/>
      <c r="L1707" s="7" t="s">
        <v>38</v>
      </c>
      <c r="M1707" s="7">
        <f t="shared" si="128"/>
        <v>0</v>
      </c>
      <c r="N1707" s="9"/>
      <c r="O1707" s="7"/>
      <c r="P1707" s="9"/>
      <c r="Q1707" s="7"/>
      <c r="R1707" s="7"/>
      <c r="S1707" s="7"/>
      <c r="T1707" s="7"/>
      <c r="U1707" s="7"/>
      <c r="V1707" s="7"/>
      <c r="W1707" s="7"/>
      <c r="X1707" s="7"/>
      <c r="Y1707" s="7"/>
      <c r="Z1707" s="7"/>
      <c r="AA1707" s="7"/>
      <c r="AB1707" s="7">
        <v>0.33333333333333298</v>
      </c>
      <c r="AC1707" s="7">
        <f t="shared" si="129"/>
        <v>0</v>
      </c>
      <c r="AD1707" s="7"/>
      <c r="AE1707" s="7"/>
      <c r="AF1707" s="7"/>
      <c r="AG1707" s="7"/>
      <c r="AH1707" s="7"/>
      <c r="AI1707" s="7"/>
      <c r="AJ1707" s="7"/>
      <c r="AK1707" s="7"/>
      <c r="AL1707" s="9"/>
      <c r="AM1707" s="7"/>
      <c r="AN1707" s="7"/>
      <c r="AO1707" s="15" t="s">
        <v>2829</v>
      </c>
    </row>
    <row r="1708" spans="1:41" s="11" customFormat="1" x14ac:dyDescent="0.25">
      <c r="A1708" s="2">
        <v>1707</v>
      </c>
      <c r="B1708" s="7" t="s">
        <v>489</v>
      </c>
      <c r="C1708" s="7" t="s">
        <v>577</v>
      </c>
      <c r="D1708" s="7">
        <v>170</v>
      </c>
      <c r="E1708" s="7">
        <v>170</v>
      </c>
      <c r="F1708" s="8">
        <v>5</v>
      </c>
      <c r="G1708" s="8">
        <v>5</v>
      </c>
      <c r="H1708" s="7" t="s">
        <v>345</v>
      </c>
      <c r="I1708" s="7">
        <v>5</v>
      </c>
      <c r="J1708" s="7" t="s">
        <v>353</v>
      </c>
      <c r="K1708" s="7"/>
      <c r="L1708" s="7" t="s">
        <v>38</v>
      </c>
      <c r="M1708" s="7">
        <f t="shared" si="128"/>
        <v>0</v>
      </c>
      <c r="N1708" s="9"/>
      <c r="O1708" s="7"/>
      <c r="P1708" s="9"/>
      <c r="Q1708" s="7"/>
      <c r="R1708" s="7"/>
      <c r="S1708" s="7"/>
      <c r="T1708" s="7"/>
      <c r="U1708" s="7"/>
      <c r="V1708" s="7"/>
      <c r="W1708" s="7"/>
      <c r="X1708" s="7"/>
      <c r="Y1708" s="7"/>
      <c r="Z1708" s="7"/>
      <c r="AA1708" s="7"/>
      <c r="AB1708" s="7">
        <v>0.33333333333333298</v>
      </c>
      <c r="AC1708" s="7">
        <f t="shared" si="129"/>
        <v>0</v>
      </c>
      <c r="AD1708" s="7"/>
      <c r="AE1708" s="7"/>
      <c r="AF1708" s="7"/>
      <c r="AG1708" s="7"/>
      <c r="AH1708" s="7"/>
      <c r="AI1708" s="7"/>
      <c r="AJ1708" s="7"/>
      <c r="AK1708" s="7"/>
      <c r="AL1708" s="9"/>
      <c r="AM1708" s="7"/>
      <c r="AN1708" s="7"/>
      <c r="AO1708" s="12"/>
    </row>
    <row r="1709" spans="1:41" s="11" customFormat="1" ht="24" x14ac:dyDescent="0.25">
      <c r="A1709" s="2">
        <v>1708</v>
      </c>
      <c r="B1709" s="7" t="s">
        <v>1466</v>
      </c>
      <c r="C1709" s="7" t="s">
        <v>421</v>
      </c>
      <c r="D1709" s="7"/>
      <c r="E1709" s="7"/>
      <c r="F1709" s="8">
        <v>1</v>
      </c>
      <c r="G1709" s="9"/>
      <c r="H1709" s="7"/>
      <c r="I1709" s="7"/>
      <c r="J1709" s="7" t="s">
        <v>35</v>
      </c>
      <c r="K1709" s="7">
        <v>2</v>
      </c>
      <c r="L1709" s="7" t="s">
        <v>52</v>
      </c>
      <c r="M1709" s="7">
        <f t="shared" si="128"/>
        <v>1</v>
      </c>
      <c r="N1709" s="9" t="s">
        <v>36</v>
      </c>
      <c r="O1709" s="7">
        <v>0</v>
      </c>
      <c r="P1709" s="9" t="s">
        <v>63</v>
      </c>
      <c r="Q1709" s="7" t="s">
        <v>38</v>
      </c>
      <c r="R1709" s="7" t="s">
        <v>38</v>
      </c>
      <c r="S1709" s="7"/>
      <c r="T1709" s="7"/>
      <c r="U1709" s="7"/>
      <c r="V1709" s="7"/>
      <c r="W1709" s="7"/>
      <c r="X1709" s="7">
        <v>75</v>
      </c>
      <c r="Y1709" s="7">
        <v>100</v>
      </c>
      <c r="Z1709" s="7">
        <v>100</v>
      </c>
      <c r="AA1709" s="7"/>
      <c r="AB1709" s="7">
        <f t="shared" ref="AB1709:AB1718" si="130">(U1709+X1709+Z1709)/3</f>
        <v>58.333333333333336</v>
      </c>
      <c r="AC1709" s="7">
        <f t="shared" si="129"/>
        <v>58.333333333333336</v>
      </c>
      <c r="AD1709" s="7">
        <v>8</v>
      </c>
      <c r="AE1709" s="7"/>
      <c r="AF1709" s="7" t="s">
        <v>40</v>
      </c>
      <c r="AG1709" s="7" t="s">
        <v>1467</v>
      </c>
      <c r="AH1709" s="7"/>
      <c r="AI1709" s="7"/>
      <c r="AJ1709" s="7"/>
      <c r="AK1709" s="7"/>
      <c r="AL1709" s="9"/>
      <c r="AM1709" s="7" t="s">
        <v>1468</v>
      </c>
      <c r="AN1709" s="7" t="s">
        <v>2853</v>
      </c>
      <c r="AO1709" s="10" t="s">
        <v>2839</v>
      </c>
    </row>
    <row r="1710" spans="1:41" s="11" customFormat="1" ht="24" x14ac:dyDescent="0.25">
      <c r="A1710" s="2">
        <v>1709</v>
      </c>
      <c r="B1710" s="7" t="s">
        <v>722</v>
      </c>
      <c r="C1710" s="7" t="s">
        <v>1401</v>
      </c>
      <c r="D1710" s="7">
        <v>133</v>
      </c>
      <c r="E1710" s="7">
        <v>133</v>
      </c>
      <c r="F1710" s="8">
        <v>1</v>
      </c>
      <c r="G1710" s="9"/>
      <c r="H1710" s="7">
        <v>11</v>
      </c>
      <c r="I1710" s="7">
        <v>11</v>
      </c>
      <c r="J1710" s="7" t="s">
        <v>1491</v>
      </c>
      <c r="K1710" s="7">
        <v>1</v>
      </c>
      <c r="L1710" s="7" t="s">
        <v>52</v>
      </c>
      <c r="M1710" s="7">
        <f t="shared" si="128"/>
        <v>1</v>
      </c>
      <c r="N1710" s="9" t="s">
        <v>82</v>
      </c>
      <c r="O1710" s="7">
        <v>0</v>
      </c>
      <c r="P1710" s="9" t="s">
        <v>34</v>
      </c>
      <c r="Q1710" s="7"/>
      <c r="R1710" s="7" t="s">
        <v>38</v>
      </c>
      <c r="S1710" s="7"/>
      <c r="T1710" s="7">
        <v>100</v>
      </c>
      <c r="U1710" s="7">
        <v>100</v>
      </c>
      <c r="V1710" s="7">
        <v>29</v>
      </c>
      <c r="W1710" s="7" t="s">
        <v>79</v>
      </c>
      <c r="X1710" s="7">
        <v>70</v>
      </c>
      <c r="Y1710" s="7">
        <v>70</v>
      </c>
      <c r="Z1710" s="7">
        <v>70</v>
      </c>
      <c r="AA1710" s="7">
        <v>46</v>
      </c>
      <c r="AB1710" s="7">
        <f t="shared" si="130"/>
        <v>80</v>
      </c>
      <c r="AC1710" s="7">
        <f t="shared" si="129"/>
        <v>80</v>
      </c>
      <c r="AD1710" s="7">
        <v>2</v>
      </c>
      <c r="AE1710" s="7"/>
      <c r="AF1710" s="7" t="s">
        <v>685</v>
      </c>
      <c r="AG1710" s="7" t="s">
        <v>1469</v>
      </c>
      <c r="AH1710" s="7"/>
      <c r="AI1710" s="7"/>
      <c r="AJ1710" s="7"/>
      <c r="AK1710" s="7"/>
      <c r="AL1710" s="9" t="s">
        <v>38</v>
      </c>
      <c r="AM1710" s="7" t="s">
        <v>67</v>
      </c>
      <c r="AN1710" s="7" t="s">
        <v>2847</v>
      </c>
      <c r="AO1710" s="10" t="s">
        <v>2830</v>
      </c>
    </row>
    <row r="1711" spans="1:41" s="11" customFormat="1" ht="24" x14ac:dyDescent="0.25">
      <c r="A1711" s="2">
        <v>1710</v>
      </c>
      <c r="B1711" s="7" t="s">
        <v>730</v>
      </c>
      <c r="C1711" s="7" t="s">
        <v>421</v>
      </c>
      <c r="D1711" s="7">
        <v>674</v>
      </c>
      <c r="E1711" s="7">
        <v>674</v>
      </c>
      <c r="F1711" s="8">
        <v>1</v>
      </c>
      <c r="G1711" s="9"/>
      <c r="H1711" s="7">
        <v>19</v>
      </c>
      <c r="I1711" s="7">
        <v>19</v>
      </c>
      <c r="J1711" s="7" t="s">
        <v>1491</v>
      </c>
      <c r="K1711" s="7">
        <v>1</v>
      </c>
      <c r="L1711" s="7" t="s">
        <v>52</v>
      </c>
      <c r="M1711" s="7">
        <f t="shared" si="128"/>
        <v>1</v>
      </c>
      <c r="N1711" s="9" t="s">
        <v>36</v>
      </c>
      <c r="O1711" s="7">
        <v>0</v>
      </c>
      <c r="P1711" s="9" t="s">
        <v>37</v>
      </c>
      <c r="Q1711" s="7" t="s">
        <v>38</v>
      </c>
      <c r="R1711" s="7" t="s">
        <v>38</v>
      </c>
      <c r="S1711" s="10" t="s">
        <v>1931</v>
      </c>
      <c r="T1711" s="7">
        <v>75</v>
      </c>
      <c r="U1711" s="7">
        <v>75</v>
      </c>
      <c r="V1711" s="7">
        <v>96</v>
      </c>
      <c r="W1711" s="7" t="s">
        <v>88</v>
      </c>
      <c r="X1711" s="7">
        <v>60</v>
      </c>
      <c r="Y1711" s="7">
        <v>100</v>
      </c>
      <c r="Z1711" s="7">
        <v>100</v>
      </c>
      <c r="AA1711" s="7">
        <v>85</v>
      </c>
      <c r="AB1711" s="7">
        <f t="shared" si="130"/>
        <v>78.333333333333329</v>
      </c>
      <c r="AC1711" s="7">
        <f t="shared" si="129"/>
        <v>78.333333333333329</v>
      </c>
      <c r="AD1711" s="7">
        <v>1</v>
      </c>
      <c r="AE1711" s="7"/>
      <c r="AF1711" s="7" t="s">
        <v>40</v>
      </c>
      <c r="AG1711" s="7" t="s">
        <v>1470</v>
      </c>
      <c r="AH1711" s="7"/>
      <c r="AI1711" s="7"/>
      <c r="AJ1711" s="7"/>
      <c r="AK1711" s="7" t="s">
        <v>252</v>
      </c>
      <c r="AL1711" s="9" t="s">
        <v>38</v>
      </c>
      <c r="AM1711" s="7" t="s">
        <v>650</v>
      </c>
      <c r="AN1711" s="7" t="s">
        <v>2848</v>
      </c>
      <c r="AO1711" s="10" t="s">
        <v>2831</v>
      </c>
    </row>
    <row r="1712" spans="1:41" s="11" customFormat="1" ht="24" x14ac:dyDescent="0.25">
      <c r="A1712" s="2">
        <v>1711</v>
      </c>
      <c r="B1712" s="7" t="s">
        <v>730</v>
      </c>
      <c r="C1712" s="7" t="s">
        <v>421</v>
      </c>
      <c r="D1712" s="7">
        <v>680</v>
      </c>
      <c r="E1712" s="7">
        <v>680</v>
      </c>
      <c r="F1712" s="8">
        <v>1</v>
      </c>
      <c r="G1712" s="9"/>
      <c r="H1712" s="7">
        <v>33</v>
      </c>
      <c r="I1712" s="7">
        <v>33</v>
      </c>
      <c r="J1712" s="7" t="s">
        <v>1491</v>
      </c>
      <c r="K1712" s="9" t="s">
        <v>1471</v>
      </c>
      <c r="L1712" s="7" t="s">
        <v>52</v>
      </c>
      <c r="M1712" s="7">
        <f t="shared" si="128"/>
        <v>1</v>
      </c>
      <c r="N1712" s="9" t="s">
        <v>34</v>
      </c>
      <c r="O1712" s="7">
        <v>2</v>
      </c>
      <c r="P1712" s="9" t="s">
        <v>63</v>
      </c>
      <c r="Q1712" s="7" t="s">
        <v>38</v>
      </c>
      <c r="R1712" s="7" t="s">
        <v>38</v>
      </c>
      <c r="S1712" s="10" t="s">
        <v>2298</v>
      </c>
      <c r="T1712" s="7">
        <v>30</v>
      </c>
      <c r="U1712" s="7">
        <v>30</v>
      </c>
      <c r="V1712" s="7">
        <v>95</v>
      </c>
      <c r="W1712" s="7" t="s">
        <v>88</v>
      </c>
      <c r="X1712" s="7">
        <v>55</v>
      </c>
      <c r="Y1712" s="7">
        <v>40</v>
      </c>
      <c r="Z1712" s="7">
        <v>40</v>
      </c>
      <c r="AA1712" s="7">
        <v>93</v>
      </c>
      <c r="AB1712" s="7">
        <f t="shared" si="130"/>
        <v>41.666666666666664</v>
      </c>
      <c r="AC1712" s="7">
        <f t="shared" si="129"/>
        <v>41.666666666666664</v>
      </c>
      <c r="AD1712" s="7">
        <v>1</v>
      </c>
      <c r="AE1712" s="7"/>
      <c r="AF1712" s="7" t="s">
        <v>40</v>
      </c>
      <c r="AG1712" s="7" t="s">
        <v>1472</v>
      </c>
      <c r="AH1712" s="7"/>
      <c r="AI1712" s="7"/>
      <c r="AJ1712" s="7"/>
      <c r="AK1712" s="10" t="s">
        <v>2509</v>
      </c>
      <c r="AL1712" s="9" t="s">
        <v>38</v>
      </c>
      <c r="AM1712" s="7" t="s">
        <v>647</v>
      </c>
      <c r="AN1712" s="7" t="s">
        <v>2847</v>
      </c>
      <c r="AO1712" s="10" t="s">
        <v>2832</v>
      </c>
    </row>
    <row r="1713" spans="1:41" s="11" customFormat="1" ht="24" x14ac:dyDescent="0.25">
      <c r="A1713" s="2">
        <v>1712</v>
      </c>
      <c r="B1713" s="7" t="s">
        <v>722</v>
      </c>
      <c r="C1713" s="7" t="s">
        <v>421</v>
      </c>
      <c r="D1713" s="7">
        <v>1472</v>
      </c>
      <c r="E1713" s="7">
        <v>1472</v>
      </c>
      <c r="F1713" s="8">
        <v>1</v>
      </c>
      <c r="G1713" s="9"/>
      <c r="H1713" s="7">
        <v>27</v>
      </c>
      <c r="I1713" s="7">
        <v>27</v>
      </c>
      <c r="J1713" s="7" t="s">
        <v>176</v>
      </c>
      <c r="K1713" s="7"/>
      <c r="L1713" s="7" t="s">
        <v>52</v>
      </c>
      <c r="M1713" s="7">
        <f t="shared" si="128"/>
        <v>1</v>
      </c>
      <c r="N1713" s="9" t="s">
        <v>177</v>
      </c>
      <c r="O1713" s="7">
        <v>0</v>
      </c>
      <c r="P1713" s="9" t="s">
        <v>63</v>
      </c>
      <c r="Q1713" s="7" t="s">
        <v>38</v>
      </c>
      <c r="R1713" s="7" t="s">
        <v>38</v>
      </c>
      <c r="S1713" s="10" t="s">
        <v>2299</v>
      </c>
      <c r="T1713" s="7">
        <v>35</v>
      </c>
      <c r="U1713" s="7">
        <v>35</v>
      </c>
      <c r="V1713" s="7">
        <v>170</v>
      </c>
      <c r="W1713" s="7" t="s">
        <v>1004</v>
      </c>
      <c r="X1713" s="7">
        <v>40</v>
      </c>
      <c r="Y1713" s="7">
        <v>100</v>
      </c>
      <c r="Z1713" s="7">
        <v>100</v>
      </c>
      <c r="AA1713" s="7">
        <v>118</v>
      </c>
      <c r="AB1713" s="7">
        <f t="shared" si="130"/>
        <v>58.333333333333336</v>
      </c>
      <c r="AC1713" s="7">
        <f t="shared" si="129"/>
        <v>58.333333333333336</v>
      </c>
      <c r="AD1713" s="7">
        <v>1</v>
      </c>
      <c r="AE1713" s="7"/>
      <c r="AF1713" s="7" t="s">
        <v>40</v>
      </c>
      <c r="AG1713" s="7" t="s">
        <v>1473</v>
      </c>
      <c r="AH1713" s="7"/>
      <c r="AI1713" s="7"/>
      <c r="AJ1713" s="7"/>
      <c r="AK1713" s="10" t="s">
        <v>2510</v>
      </c>
      <c r="AL1713" s="9" t="s">
        <v>38</v>
      </c>
      <c r="AM1713" s="7" t="s">
        <v>650</v>
      </c>
      <c r="AN1713" s="7" t="s">
        <v>2848</v>
      </c>
      <c r="AO1713" s="10" t="s">
        <v>2833</v>
      </c>
    </row>
    <row r="1714" spans="1:41" s="11" customFormat="1" ht="36" x14ac:dyDescent="0.25">
      <c r="A1714" s="2">
        <v>1713</v>
      </c>
      <c r="B1714" s="7" t="s">
        <v>1474</v>
      </c>
      <c r="C1714" s="7" t="s">
        <v>1401</v>
      </c>
      <c r="D1714" s="7">
        <v>1523</v>
      </c>
      <c r="E1714" s="7">
        <v>1523</v>
      </c>
      <c r="F1714" s="8">
        <v>1</v>
      </c>
      <c r="G1714" s="9" t="s">
        <v>1475</v>
      </c>
      <c r="H1714" s="7">
        <v>24</v>
      </c>
      <c r="I1714" s="7">
        <v>24</v>
      </c>
      <c r="J1714" s="7" t="s">
        <v>290</v>
      </c>
      <c r="K1714" s="7"/>
      <c r="L1714" s="7" t="s">
        <v>52</v>
      </c>
      <c r="M1714" s="7">
        <f t="shared" si="128"/>
        <v>1</v>
      </c>
      <c r="N1714" s="9" t="s">
        <v>291</v>
      </c>
      <c r="O1714" s="7">
        <v>0</v>
      </c>
      <c r="P1714" s="9" t="s">
        <v>63</v>
      </c>
      <c r="Q1714" s="7" t="s">
        <v>38</v>
      </c>
      <c r="R1714" s="7" t="s">
        <v>52</v>
      </c>
      <c r="S1714" s="10" t="s">
        <v>2300</v>
      </c>
      <c r="T1714" s="7">
        <v>75</v>
      </c>
      <c r="U1714" s="7">
        <v>75</v>
      </c>
      <c r="V1714" s="7">
        <v>325</v>
      </c>
      <c r="W1714" s="7" t="s">
        <v>214</v>
      </c>
      <c r="X1714" s="7">
        <v>85</v>
      </c>
      <c r="Y1714" s="7">
        <v>90</v>
      </c>
      <c r="Z1714" s="7">
        <v>90</v>
      </c>
      <c r="AA1714" s="7">
        <v>187</v>
      </c>
      <c r="AB1714" s="7">
        <f t="shared" si="130"/>
        <v>83.333333333333329</v>
      </c>
      <c r="AC1714" s="7">
        <f t="shared" si="129"/>
        <v>83.333333333333329</v>
      </c>
      <c r="AD1714" s="7"/>
      <c r="AE1714" s="7"/>
      <c r="AF1714" s="7"/>
      <c r="AG1714" s="7"/>
      <c r="AH1714" s="7"/>
      <c r="AI1714" s="7"/>
      <c r="AJ1714" s="7" t="s">
        <v>1476</v>
      </c>
      <c r="AK1714" s="7"/>
      <c r="AL1714" s="9" t="s">
        <v>38</v>
      </c>
      <c r="AM1714" s="7" t="s">
        <v>1380</v>
      </c>
      <c r="AN1714" s="7" t="s">
        <v>2852</v>
      </c>
      <c r="AO1714" s="10" t="s">
        <v>2834</v>
      </c>
    </row>
    <row r="1715" spans="1:41" s="11" customFormat="1" x14ac:dyDescent="0.25">
      <c r="A1715" s="2">
        <v>1714</v>
      </c>
      <c r="B1715" s="7" t="s">
        <v>54</v>
      </c>
      <c r="C1715" s="7" t="s">
        <v>1401</v>
      </c>
      <c r="D1715" s="7"/>
      <c r="E1715" s="7"/>
      <c r="F1715" s="8">
        <v>1</v>
      </c>
      <c r="G1715" s="9"/>
      <c r="H1715" s="7"/>
      <c r="I1715" s="7"/>
      <c r="J1715" s="7" t="s">
        <v>176</v>
      </c>
      <c r="K1715" s="7"/>
      <c r="L1715" s="7" t="s">
        <v>52</v>
      </c>
      <c r="M1715" s="7">
        <f t="shared" si="128"/>
        <v>1</v>
      </c>
      <c r="N1715" s="9" t="s">
        <v>177</v>
      </c>
      <c r="O1715" s="7">
        <v>0</v>
      </c>
      <c r="P1715" s="9" t="s">
        <v>63</v>
      </c>
      <c r="Q1715" s="7" t="s">
        <v>38</v>
      </c>
      <c r="R1715" s="7" t="s">
        <v>38</v>
      </c>
      <c r="S1715" s="10" t="s">
        <v>1931</v>
      </c>
      <c r="T1715" s="7">
        <v>97</v>
      </c>
      <c r="U1715" s="7">
        <v>97</v>
      </c>
      <c r="V1715" s="7"/>
      <c r="W1715" s="7" t="s">
        <v>79</v>
      </c>
      <c r="X1715" s="7">
        <v>95</v>
      </c>
      <c r="Y1715" s="7">
        <v>100</v>
      </c>
      <c r="Z1715" s="7">
        <v>100</v>
      </c>
      <c r="AA1715" s="7"/>
      <c r="AB1715" s="7">
        <f t="shared" si="130"/>
        <v>97.333333333333329</v>
      </c>
      <c r="AC1715" s="7">
        <f t="shared" si="129"/>
        <v>97.333333333333329</v>
      </c>
      <c r="AD1715" s="7"/>
      <c r="AE1715" s="7"/>
      <c r="AF1715" s="7"/>
      <c r="AG1715" s="7"/>
      <c r="AH1715" s="7"/>
      <c r="AI1715" s="7"/>
      <c r="AJ1715" s="7"/>
      <c r="AK1715" s="7"/>
      <c r="AL1715" s="9"/>
      <c r="AM1715" s="7" t="s">
        <v>582</v>
      </c>
      <c r="AN1715" s="7" t="s">
        <v>2851</v>
      </c>
      <c r="AO1715" s="10" t="s">
        <v>2835</v>
      </c>
    </row>
    <row r="1716" spans="1:41" s="11" customFormat="1" x14ac:dyDescent="0.25">
      <c r="A1716" s="2">
        <v>1715</v>
      </c>
      <c r="B1716" s="7" t="s">
        <v>579</v>
      </c>
      <c r="C1716" s="7" t="s">
        <v>1477</v>
      </c>
      <c r="D1716" s="7"/>
      <c r="E1716" s="7"/>
      <c r="F1716" s="8">
        <v>1</v>
      </c>
      <c r="G1716" s="9"/>
      <c r="H1716" s="7"/>
      <c r="I1716" s="7"/>
      <c r="J1716" s="7" t="s">
        <v>176</v>
      </c>
      <c r="K1716" s="7"/>
      <c r="L1716" s="7" t="s">
        <v>52</v>
      </c>
      <c r="M1716" s="7">
        <f t="shared" si="128"/>
        <v>1</v>
      </c>
      <c r="N1716" s="9" t="s">
        <v>213</v>
      </c>
      <c r="O1716" s="7">
        <v>0</v>
      </c>
      <c r="P1716" s="9" t="s">
        <v>63</v>
      </c>
      <c r="Q1716" s="7" t="s">
        <v>38</v>
      </c>
      <c r="R1716" s="7" t="s">
        <v>38</v>
      </c>
      <c r="S1716" s="10" t="s">
        <v>2301</v>
      </c>
      <c r="T1716" s="7">
        <v>100</v>
      </c>
      <c r="U1716" s="7">
        <v>100</v>
      </c>
      <c r="V1716" s="7"/>
      <c r="W1716" s="7" t="s">
        <v>79</v>
      </c>
      <c r="X1716" s="7">
        <v>100</v>
      </c>
      <c r="Y1716" s="7">
        <v>100</v>
      </c>
      <c r="Z1716" s="7">
        <v>100</v>
      </c>
      <c r="AA1716" s="7"/>
      <c r="AB1716" s="7">
        <f t="shared" si="130"/>
        <v>100</v>
      </c>
      <c r="AC1716" s="7">
        <f t="shared" si="129"/>
        <v>100</v>
      </c>
      <c r="AD1716" s="7"/>
      <c r="AE1716" s="7"/>
      <c r="AF1716" s="7"/>
      <c r="AG1716" s="7"/>
      <c r="AH1716" s="7"/>
      <c r="AI1716" s="7"/>
      <c r="AJ1716" s="7"/>
      <c r="AK1716" s="7"/>
      <c r="AL1716" s="9"/>
      <c r="AM1716" s="7" t="s">
        <v>582</v>
      </c>
      <c r="AN1716" s="7" t="s">
        <v>2851</v>
      </c>
      <c r="AO1716" s="7"/>
    </row>
    <row r="1717" spans="1:41" s="11" customFormat="1" x14ac:dyDescent="0.25">
      <c r="A1717" s="2">
        <v>1716</v>
      </c>
      <c r="B1717" s="7" t="s">
        <v>730</v>
      </c>
      <c r="C1717" s="7" t="s">
        <v>421</v>
      </c>
      <c r="D1717" s="7"/>
      <c r="E1717" s="7"/>
      <c r="F1717" s="8">
        <v>1</v>
      </c>
      <c r="G1717" s="9"/>
      <c r="H1717" s="7"/>
      <c r="I1717" s="7"/>
      <c r="J1717" s="7" t="s">
        <v>35</v>
      </c>
      <c r="K1717" s="7">
        <v>2</v>
      </c>
      <c r="L1717" s="7" t="s">
        <v>52</v>
      </c>
      <c r="M1717" s="7">
        <f t="shared" si="128"/>
        <v>1</v>
      </c>
      <c r="N1717" s="9" t="s">
        <v>34</v>
      </c>
      <c r="O1717" s="7">
        <v>0</v>
      </c>
      <c r="P1717" s="9" t="s">
        <v>63</v>
      </c>
      <c r="Q1717" s="7" t="s">
        <v>52</v>
      </c>
      <c r="R1717" s="7" t="s">
        <v>38</v>
      </c>
      <c r="S1717" s="10" t="s">
        <v>2302</v>
      </c>
      <c r="T1717" s="7"/>
      <c r="U1717" s="7"/>
      <c r="V1717" s="7"/>
      <c r="W1717" s="7"/>
      <c r="X1717" s="7">
        <v>75</v>
      </c>
      <c r="Y1717" s="7">
        <v>100</v>
      </c>
      <c r="Z1717" s="7">
        <v>100</v>
      </c>
      <c r="AA1717" s="7"/>
      <c r="AB1717" s="7">
        <f t="shared" si="130"/>
        <v>58.333333333333336</v>
      </c>
      <c r="AC1717" s="7">
        <f t="shared" si="129"/>
        <v>58.333333333333336</v>
      </c>
      <c r="AD1717" s="7">
        <v>2</v>
      </c>
      <c r="AE1717" s="7"/>
      <c r="AF1717" s="7" t="s">
        <v>308</v>
      </c>
      <c r="AG1717" s="7" t="s">
        <v>1469</v>
      </c>
      <c r="AH1717" s="7"/>
      <c r="AI1717" s="7"/>
      <c r="AJ1717" s="7" t="s">
        <v>2359</v>
      </c>
      <c r="AK1717" s="7"/>
      <c r="AL1717" s="9"/>
      <c r="AM1717" s="7" t="s">
        <v>67</v>
      </c>
      <c r="AN1717" s="7" t="s">
        <v>2847</v>
      </c>
      <c r="AO1717" s="10" t="s">
        <v>2836</v>
      </c>
    </row>
    <row r="1718" spans="1:41" s="11" customFormat="1" ht="24" x14ac:dyDescent="0.25">
      <c r="A1718" s="2">
        <v>1717</v>
      </c>
      <c r="B1718" s="7" t="s">
        <v>74</v>
      </c>
      <c r="C1718" s="7" t="s">
        <v>381</v>
      </c>
      <c r="D1718" s="7"/>
      <c r="E1718" s="7"/>
      <c r="F1718" s="8">
        <v>1</v>
      </c>
      <c r="G1718" s="9"/>
      <c r="H1718" s="7"/>
      <c r="I1718" s="7"/>
      <c r="J1718" s="7" t="s">
        <v>35</v>
      </c>
      <c r="K1718" s="7">
        <v>2</v>
      </c>
      <c r="L1718" s="7" t="s">
        <v>52</v>
      </c>
      <c r="M1718" s="7">
        <f t="shared" si="128"/>
        <v>1</v>
      </c>
      <c r="N1718" s="9" t="s">
        <v>34</v>
      </c>
      <c r="O1718" s="7">
        <v>0</v>
      </c>
      <c r="P1718" s="9" t="s">
        <v>63</v>
      </c>
      <c r="Q1718" s="7" t="s">
        <v>52</v>
      </c>
      <c r="R1718" s="7" t="s">
        <v>38</v>
      </c>
      <c r="S1718" s="10" t="s">
        <v>1518</v>
      </c>
      <c r="T1718" s="7"/>
      <c r="U1718" s="7"/>
      <c r="V1718" s="7"/>
      <c r="W1718" s="7"/>
      <c r="X1718" s="7">
        <v>25</v>
      </c>
      <c r="Y1718" s="7">
        <v>5</v>
      </c>
      <c r="Z1718" s="7"/>
      <c r="AA1718" s="7"/>
      <c r="AB1718" s="7">
        <f t="shared" si="130"/>
        <v>8.3333333333333339</v>
      </c>
      <c r="AC1718" s="7">
        <f t="shared" si="129"/>
        <v>8.3333333333333339</v>
      </c>
      <c r="AD1718" s="7">
        <v>2</v>
      </c>
      <c r="AE1718" s="7"/>
      <c r="AF1718" s="7" t="s">
        <v>308</v>
      </c>
      <c r="AG1718" s="7" t="s">
        <v>1469</v>
      </c>
      <c r="AH1718" s="7"/>
      <c r="AI1718" s="7"/>
      <c r="AJ1718" s="7" t="s">
        <v>2359</v>
      </c>
      <c r="AK1718" s="7"/>
      <c r="AL1718" s="9"/>
      <c r="AM1718" s="7" t="s">
        <v>67</v>
      </c>
      <c r="AN1718" s="7" t="s">
        <v>2847</v>
      </c>
      <c r="AO1718" s="10" t="s">
        <v>2837</v>
      </c>
    </row>
    <row r="1719" spans="1:41" s="11" customFormat="1" x14ac:dyDescent="0.25">
      <c r="A1719" s="3"/>
      <c r="F1719" s="19"/>
      <c r="G1719" s="19"/>
      <c r="N1719" s="19"/>
      <c r="P1719" s="19"/>
      <c r="AL1719" s="19"/>
    </row>
    <row r="1720" spans="1:41" s="11" customFormat="1" x14ac:dyDescent="0.25">
      <c r="A1720" s="3"/>
      <c r="B1720" s="20"/>
      <c r="F1720" s="19"/>
      <c r="G1720" s="19"/>
      <c r="N1720" s="19"/>
      <c r="P1720" s="19"/>
      <c r="AL1720" s="19"/>
    </row>
    <row r="1721" spans="1:41" s="11" customFormat="1" x14ac:dyDescent="0.25">
      <c r="A1721" s="3"/>
      <c r="F1721" s="19"/>
      <c r="G1721" s="19"/>
      <c r="N1721" s="19"/>
      <c r="P1721" s="19"/>
      <c r="AL1721" s="19"/>
    </row>
    <row r="1722" spans="1:41" s="11" customFormat="1" x14ac:dyDescent="0.25">
      <c r="A1722" s="3"/>
      <c r="F1722" s="19"/>
      <c r="G1722" s="19"/>
      <c r="N1722" s="19"/>
      <c r="P1722" s="19"/>
      <c r="AL1722" s="19"/>
    </row>
    <row r="1723" spans="1:41" s="11" customFormat="1" x14ac:dyDescent="0.25">
      <c r="A1723" s="3"/>
      <c r="F1723" s="19"/>
      <c r="G1723" s="19"/>
      <c r="N1723" s="19"/>
      <c r="P1723" s="19"/>
      <c r="AL1723" s="19"/>
    </row>
    <row r="1724" spans="1:41" s="11" customFormat="1" x14ac:dyDescent="0.25">
      <c r="A1724" s="3"/>
      <c r="F1724" s="19"/>
      <c r="G1724" s="19"/>
      <c r="N1724" s="19"/>
      <c r="P1724" s="19"/>
      <c r="AL1724" s="19"/>
    </row>
    <row r="1725" spans="1:41" s="11" customFormat="1" x14ac:dyDescent="0.25">
      <c r="A1725" s="3"/>
      <c r="F1725" s="19"/>
      <c r="G1725" s="19"/>
      <c r="N1725" s="19"/>
      <c r="P1725" s="19"/>
      <c r="AL1725" s="19"/>
    </row>
    <row r="1726" spans="1:41" s="11" customFormat="1" x14ac:dyDescent="0.25">
      <c r="A1726" s="3"/>
      <c r="F1726" s="19"/>
      <c r="G1726" s="19"/>
      <c r="N1726" s="19"/>
      <c r="P1726" s="19"/>
      <c r="AL1726" s="19"/>
    </row>
    <row r="1727" spans="1:41" s="11" customFormat="1" x14ac:dyDescent="0.25">
      <c r="A1727" s="3"/>
      <c r="F1727" s="19"/>
      <c r="G1727" s="19"/>
      <c r="N1727" s="19"/>
      <c r="P1727" s="19"/>
      <c r="AL1727" s="19"/>
    </row>
    <row r="1728" spans="1:41" s="11" customFormat="1" x14ac:dyDescent="0.25">
      <c r="A1728" s="3"/>
      <c r="F1728" s="19"/>
      <c r="G1728" s="19"/>
      <c r="N1728" s="19"/>
      <c r="P1728" s="19"/>
      <c r="AL1728" s="19"/>
    </row>
    <row r="1729" spans="1:38" s="11" customFormat="1" x14ac:dyDescent="0.25">
      <c r="A1729" s="3"/>
      <c r="F1729" s="19"/>
      <c r="G1729" s="19"/>
      <c r="N1729" s="19"/>
      <c r="P1729" s="19"/>
      <c r="AL1729" s="19"/>
    </row>
    <row r="1730" spans="1:38" s="11" customFormat="1" x14ac:dyDescent="0.25">
      <c r="A1730" s="3"/>
      <c r="F1730" s="19"/>
      <c r="G1730" s="19"/>
      <c r="N1730" s="19"/>
      <c r="P1730" s="19"/>
      <c r="AL1730" s="19"/>
    </row>
    <row r="1731" spans="1:38" s="11" customFormat="1" x14ac:dyDescent="0.25">
      <c r="A1731" s="3"/>
      <c r="F1731" s="19"/>
      <c r="G1731" s="19"/>
      <c r="N1731" s="19"/>
      <c r="P1731" s="19"/>
      <c r="AL1731" s="19"/>
    </row>
    <row r="1732" spans="1:38" s="11" customFormat="1" x14ac:dyDescent="0.25">
      <c r="A1732" s="3"/>
      <c r="F1732" s="19"/>
      <c r="G1732" s="19"/>
      <c r="N1732" s="19"/>
      <c r="P1732" s="19"/>
      <c r="AL1732" s="19"/>
    </row>
    <row r="1733" spans="1:38" s="11" customFormat="1" x14ac:dyDescent="0.25">
      <c r="A1733" s="3"/>
      <c r="F1733" s="19"/>
      <c r="G1733" s="19"/>
      <c r="N1733" s="19"/>
      <c r="P1733" s="19"/>
      <c r="AL1733" s="19"/>
    </row>
    <row r="1734" spans="1:38" s="11" customFormat="1" x14ac:dyDescent="0.25">
      <c r="A1734" s="3"/>
      <c r="F1734" s="19"/>
      <c r="G1734" s="19"/>
      <c r="N1734" s="19"/>
      <c r="P1734" s="19"/>
      <c r="AL1734" s="19"/>
    </row>
    <row r="1735" spans="1:38" s="11" customFormat="1" x14ac:dyDescent="0.25">
      <c r="A1735" s="3"/>
      <c r="F1735" s="19"/>
      <c r="G1735" s="19"/>
      <c r="N1735" s="19"/>
      <c r="P1735" s="19"/>
      <c r="AL1735" s="19"/>
    </row>
    <row r="1736" spans="1:38" s="11" customFormat="1" x14ac:dyDescent="0.25">
      <c r="A1736" s="3"/>
      <c r="F1736" s="19"/>
      <c r="G1736" s="19"/>
      <c r="N1736" s="19"/>
      <c r="P1736" s="19"/>
      <c r="AL1736" s="19"/>
    </row>
    <row r="1737" spans="1:38" s="11" customFormat="1" x14ac:dyDescent="0.25">
      <c r="A1737" s="3"/>
      <c r="F1737" s="19"/>
      <c r="G1737" s="19"/>
      <c r="N1737" s="19"/>
      <c r="P1737" s="19"/>
      <c r="AL1737" s="19"/>
    </row>
    <row r="1738" spans="1:38" s="11" customFormat="1" x14ac:dyDescent="0.25">
      <c r="A1738" s="3"/>
      <c r="F1738" s="19"/>
      <c r="G1738" s="19"/>
      <c r="N1738" s="19"/>
      <c r="P1738" s="19"/>
      <c r="AL1738" s="19"/>
    </row>
    <row r="1739" spans="1:38" s="11" customFormat="1" x14ac:dyDescent="0.25">
      <c r="A1739" s="3"/>
      <c r="F1739" s="19"/>
      <c r="G1739" s="19"/>
      <c r="N1739" s="19"/>
      <c r="P1739" s="19"/>
      <c r="AL1739" s="19"/>
    </row>
    <row r="1740" spans="1:38" s="11" customFormat="1" x14ac:dyDescent="0.25">
      <c r="A1740" s="3"/>
      <c r="F1740" s="19"/>
      <c r="G1740" s="19"/>
      <c r="N1740" s="19"/>
      <c r="P1740" s="19"/>
      <c r="AL1740" s="19"/>
    </row>
    <row r="1741" spans="1:38" s="11" customFormat="1" x14ac:dyDescent="0.25">
      <c r="A1741" s="3"/>
      <c r="F1741" s="19"/>
      <c r="G1741" s="19"/>
      <c r="N1741" s="19"/>
      <c r="P1741" s="19"/>
      <c r="AL1741" s="19"/>
    </row>
    <row r="1742" spans="1:38" s="11" customFormat="1" x14ac:dyDescent="0.25">
      <c r="A1742" s="3"/>
      <c r="F1742" s="19"/>
      <c r="G1742" s="19"/>
      <c r="N1742" s="19"/>
      <c r="P1742" s="19"/>
      <c r="AL1742" s="19"/>
    </row>
    <row r="1743" spans="1:38" s="11" customFormat="1" x14ac:dyDescent="0.25">
      <c r="A1743" s="3"/>
      <c r="F1743" s="19"/>
      <c r="G1743" s="19"/>
      <c r="N1743" s="19"/>
      <c r="P1743" s="19"/>
      <c r="AL1743" s="19"/>
    </row>
    <row r="1744" spans="1:38" s="11" customFormat="1" x14ac:dyDescent="0.25">
      <c r="A1744" s="3"/>
      <c r="F1744" s="19"/>
      <c r="G1744" s="19"/>
      <c r="N1744" s="19"/>
      <c r="P1744" s="19"/>
      <c r="AL1744" s="19"/>
    </row>
    <row r="1745" spans="1:38" s="11" customFormat="1" x14ac:dyDescent="0.25">
      <c r="A1745" s="3"/>
      <c r="F1745" s="19"/>
      <c r="G1745" s="19"/>
      <c r="N1745" s="19"/>
      <c r="P1745" s="19"/>
      <c r="AL1745" s="19"/>
    </row>
    <row r="1746" spans="1:38" s="11" customFormat="1" x14ac:dyDescent="0.25">
      <c r="A1746" s="3"/>
      <c r="F1746" s="19"/>
      <c r="G1746" s="19"/>
      <c r="N1746" s="19"/>
      <c r="P1746" s="19"/>
      <c r="AL1746" s="19"/>
    </row>
    <row r="1747" spans="1:38" s="11" customFormat="1" x14ac:dyDescent="0.25">
      <c r="A1747" s="3"/>
      <c r="F1747" s="19"/>
      <c r="G1747" s="19"/>
      <c r="N1747" s="19"/>
      <c r="P1747" s="19"/>
      <c r="AL1747" s="19"/>
    </row>
    <row r="1748" spans="1:38" s="11" customFormat="1" x14ac:dyDescent="0.25">
      <c r="A1748" s="3"/>
      <c r="F1748" s="19"/>
      <c r="G1748" s="19"/>
      <c r="N1748" s="19"/>
      <c r="P1748" s="19"/>
      <c r="AL1748" s="19"/>
    </row>
    <row r="1749" spans="1:38" s="11" customFormat="1" x14ac:dyDescent="0.25">
      <c r="A1749" s="3"/>
      <c r="F1749" s="19"/>
      <c r="G1749" s="19"/>
      <c r="N1749" s="19"/>
      <c r="P1749" s="19"/>
      <c r="AL1749" s="19"/>
    </row>
    <row r="1750" spans="1:38" s="11" customFormat="1" x14ac:dyDescent="0.25">
      <c r="A1750" s="3"/>
      <c r="F1750" s="19"/>
      <c r="G1750" s="19"/>
      <c r="N1750" s="19"/>
      <c r="P1750" s="19"/>
      <c r="AL1750" s="19"/>
    </row>
    <row r="1751" spans="1:38" s="11" customFormat="1" x14ac:dyDescent="0.25">
      <c r="A1751" s="3"/>
      <c r="F1751" s="19"/>
      <c r="G1751" s="19"/>
      <c r="N1751" s="19"/>
      <c r="P1751" s="19"/>
      <c r="AL1751" s="19"/>
    </row>
    <row r="1752" spans="1:38" s="11" customFormat="1" x14ac:dyDescent="0.25">
      <c r="A1752" s="3"/>
      <c r="F1752" s="19"/>
      <c r="G1752" s="19"/>
      <c r="N1752" s="19"/>
      <c r="P1752" s="19"/>
      <c r="AL1752" s="19"/>
    </row>
    <row r="1753" spans="1:38" s="11" customFormat="1" x14ac:dyDescent="0.25">
      <c r="A1753" s="3"/>
      <c r="F1753" s="19"/>
      <c r="G1753" s="19"/>
      <c r="N1753" s="19"/>
      <c r="P1753" s="19"/>
      <c r="AL1753" s="19"/>
    </row>
    <row r="1754" spans="1:38" s="11" customFormat="1" x14ac:dyDescent="0.25">
      <c r="A1754" s="3"/>
      <c r="F1754" s="19"/>
      <c r="G1754" s="19"/>
      <c r="N1754" s="19"/>
      <c r="P1754" s="19"/>
      <c r="AL1754" s="19"/>
    </row>
    <row r="1755" spans="1:38" s="11" customFormat="1" x14ac:dyDescent="0.25">
      <c r="A1755" s="3"/>
      <c r="F1755" s="19"/>
      <c r="G1755" s="19"/>
      <c r="N1755" s="19"/>
      <c r="P1755" s="19"/>
      <c r="AL1755" s="19"/>
    </row>
    <row r="1756" spans="1:38" s="11" customFormat="1" x14ac:dyDescent="0.25">
      <c r="A1756" s="3"/>
      <c r="F1756" s="19"/>
      <c r="G1756" s="19"/>
      <c r="N1756" s="19"/>
      <c r="P1756" s="19"/>
      <c r="AL1756" s="19"/>
    </row>
    <row r="1757" spans="1:38" s="11" customFormat="1" x14ac:dyDescent="0.25">
      <c r="A1757" s="3"/>
      <c r="F1757" s="19"/>
      <c r="G1757" s="19"/>
      <c r="N1757" s="19"/>
      <c r="P1757" s="19"/>
      <c r="AL1757" s="19"/>
    </row>
    <row r="1758" spans="1:38" s="11" customFormat="1" x14ac:dyDescent="0.25">
      <c r="A1758" s="3"/>
      <c r="F1758" s="19"/>
      <c r="G1758" s="19"/>
      <c r="N1758" s="19"/>
      <c r="P1758" s="19"/>
      <c r="AL1758" s="19"/>
    </row>
    <row r="1759" spans="1:38" s="11" customFormat="1" x14ac:dyDescent="0.25">
      <c r="A1759" s="3"/>
      <c r="F1759" s="19"/>
      <c r="G1759" s="19"/>
      <c r="N1759" s="19"/>
      <c r="P1759" s="19"/>
      <c r="AL1759" s="19"/>
    </row>
    <row r="1760" spans="1:38" s="11" customFormat="1" x14ac:dyDescent="0.25">
      <c r="A1760" s="3"/>
      <c r="F1760" s="19"/>
      <c r="G1760" s="19"/>
      <c r="N1760" s="19"/>
      <c r="P1760" s="19"/>
      <c r="AL1760" s="19"/>
    </row>
    <row r="1761" spans="1:38" s="11" customFormat="1" x14ac:dyDescent="0.25">
      <c r="A1761" s="3"/>
      <c r="F1761" s="19"/>
      <c r="G1761" s="19"/>
      <c r="N1761" s="19"/>
      <c r="P1761" s="19"/>
      <c r="AL1761" s="19"/>
    </row>
    <row r="1762" spans="1:38" s="11" customFormat="1" x14ac:dyDescent="0.25">
      <c r="A1762" s="3"/>
      <c r="F1762" s="19"/>
      <c r="G1762" s="19"/>
      <c r="N1762" s="19"/>
      <c r="P1762" s="19"/>
      <c r="AL1762" s="19"/>
    </row>
    <row r="1763" spans="1:38" s="11" customFormat="1" x14ac:dyDescent="0.25">
      <c r="A1763" s="3"/>
      <c r="F1763" s="19"/>
      <c r="G1763" s="19"/>
      <c r="N1763" s="19"/>
      <c r="P1763" s="19"/>
      <c r="AL1763" s="19"/>
    </row>
    <row r="1764" spans="1:38" s="11" customFormat="1" x14ac:dyDescent="0.25">
      <c r="A1764" s="3"/>
      <c r="F1764" s="19"/>
      <c r="G1764" s="19"/>
      <c r="N1764" s="19"/>
      <c r="P1764" s="19"/>
      <c r="AL1764" s="19"/>
    </row>
    <row r="1765" spans="1:38" s="11" customFormat="1" x14ac:dyDescent="0.25">
      <c r="A1765" s="3"/>
      <c r="F1765" s="19"/>
      <c r="G1765" s="19"/>
      <c r="N1765" s="19"/>
      <c r="P1765" s="19"/>
      <c r="AL1765" s="19"/>
    </row>
    <row r="1766" spans="1:38" s="11" customFormat="1" x14ac:dyDescent="0.25">
      <c r="A1766" s="3"/>
      <c r="F1766" s="19"/>
      <c r="G1766" s="19"/>
      <c r="N1766" s="19"/>
      <c r="P1766" s="19"/>
      <c r="AL1766" s="19"/>
    </row>
    <row r="1767" spans="1:38" s="11" customFormat="1" x14ac:dyDescent="0.25">
      <c r="A1767" s="3"/>
      <c r="F1767" s="19"/>
      <c r="G1767" s="19"/>
      <c r="N1767" s="19"/>
      <c r="P1767" s="19"/>
      <c r="AL1767" s="19"/>
    </row>
    <row r="1768" spans="1:38" s="11" customFormat="1" x14ac:dyDescent="0.25">
      <c r="A1768" s="3"/>
      <c r="F1768" s="19"/>
      <c r="G1768" s="19"/>
      <c r="N1768" s="19"/>
      <c r="P1768" s="19"/>
      <c r="AL1768" s="19"/>
    </row>
    <row r="1769" spans="1:38" s="11" customFormat="1" x14ac:dyDescent="0.25">
      <c r="A1769" s="3"/>
      <c r="F1769" s="19"/>
      <c r="G1769" s="19"/>
      <c r="N1769" s="19"/>
      <c r="P1769" s="19"/>
      <c r="AL1769" s="19"/>
    </row>
    <row r="1770" spans="1:38" s="11" customFormat="1" x14ac:dyDescent="0.25">
      <c r="A1770" s="3"/>
      <c r="F1770" s="19"/>
      <c r="G1770" s="19"/>
      <c r="N1770" s="19"/>
      <c r="P1770" s="19"/>
      <c r="AL1770" s="19"/>
    </row>
    <row r="1771" spans="1:38" s="11" customFormat="1" x14ac:dyDescent="0.25">
      <c r="A1771" s="3"/>
      <c r="F1771" s="19"/>
      <c r="G1771" s="19"/>
      <c r="N1771" s="19"/>
      <c r="P1771" s="19"/>
      <c r="AL1771" s="19"/>
    </row>
    <row r="1772" spans="1:38" s="11" customFormat="1" x14ac:dyDescent="0.25">
      <c r="A1772" s="3"/>
      <c r="F1772" s="19"/>
      <c r="G1772" s="19"/>
      <c r="N1772" s="19"/>
      <c r="P1772" s="19"/>
      <c r="AL1772" s="19"/>
    </row>
    <row r="1773" spans="1:38" s="11" customFormat="1" x14ac:dyDescent="0.25">
      <c r="A1773" s="3"/>
      <c r="F1773" s="19"/>
      <c r="G1773" s="19"/>
      <c r="N1773" s="19"/>
      <c r="P1773" s="19"/>
      <c r="AL1773" s="19"/>
    </row>
    <row r="1774" spans="1:38" s="11" customFormat="1" x14ac:dyDescent="0.25">
      <c r="A1774" s="3"/>
      <c r="F1774" s="19"/>
      <c r="G1774" s="19"/>
      <c r="N1774" s="19"/>
      <c r="P1774" s="19"/>
      <c r="AL1774" s="19"/>
    </row>
    <row r="1775" spans="1:38" s="11" customFormat="1" x14ac:dyDescent="0.25">
      <c r="A1775" s="3"/>
      <c r="F1775" s="19"/>
      <c r="G1775" s="19"/>
      <c r="N1775" s="19"/>
      <c r="P1775" s="19"/>
      <c r="AL1775" s="19"/>
    </row>
    <row r="1776" spans="1:38" s="11" customFormat="1" x14ac:dyDescent="0.25">
      <c r="A1776" s="3"/>
      <c r="F1776" s="19"/>
      <c r="G1776" s="19"/>
      <c r="N1776" s="19"/>
      <c r="P1776" s="19"/>
      <c r="AL1776" s="19"/>
    </row>
    <row r="1777" spans="1:38" s="11" customFormat="1" x14ac:dyDescent="0.25">
      <c r="A1777" s="3"/>
      <c r="F1777" s="19"/>
      <c r="G1777" s="19"/>
      <c r="N1777" s="19"/>
      <c r="P1777" s="19"/>
      <c r="AL1777" s="19"/>
    </row>
    <row r="1778" spans="1:38" s="11" customFormat="1" x14ac:dyDescent="0.25">
      <c r="A1778" s="3"/>
      <c r="F1778" s="19"/>
      <c r="G1778" s="19"/>
      <c r="N1778" s="19"/>
      <c r="P1778" s="19"/>
      <c r="AL1778" s="19"/>
    </row>
    <row r="1779" spans="1:38" s="11" customFormat="1" x14ac:dyDescent="0.25">
      <c r="A1779" s="3"/>
      <c r="F1779" s="19"/>
      <c r="G1779" s="19"/>
      <c r="N1779" s="19"/>
      <c r="P1779" s="19"/>
      <c r="AL1779" s="19"/>
    </row>
    <row r="1780" spans="1:38" s="11" customFormat="1" x14ac:dyDescent="0.25">
      <c r="A1780" s="3"/>
      <c r="F1780" s="19"/>
      <c r="G1780" s="19"/>
      <c r="N1780" s="19"/>
      <c r="P1780" s="19"/>
      <c r="AL1780" s="19"/>
    </row>
    <row r="1781" spans="1:38" s="11" customFormat="1" x14ac:dyDescent="0.25">
      <c r="A1781" s="3"/>
      <c r="F1781" s="19"/>
      <c r="G1781" s="19"/>
      <c r="N1781" s="19"/>
      <c r="P1781" s="19"/>
      <c r="AL1781" s="19"/>
    </row>
    <row r="1782" spans="1:38" s="11" customFormat="1" x14ac:dyDescent="0.25">
      <c r="A1782" s="3"/>
      <c r="F1782" s="19"/>
      <c r="G1782" s="19"/>
      <c r="N1782" s="19"/>
      <c r="P1782" s="19"/>
      <c r="AL1782" s="19"/>
    </row>
    <row r="1783" spans="1:38" s="11" customFormat="1" x14ac:dyDescent="0.25">
      <c r="A1783" s="3"/>
      <c r="F1783" s="19"/>
      <c r="G1783" s="19"/>
      <c r="N1783" s="19"/>
      <c r="P1783" s="19"/>
      <c r="AL1783" s="19"/>
    </row>
    <row r="1784" spans="1:38" s="11" customFormat="1" x14ac:dyDescent="0.25">
      <c r="A1784" s="3"/>
      <c r="F1784" s="19"/>
      <c r="G1784" s="19"/>
      <c r="N1784" s="19"/>
      <c r="P1784" s="19"/>
      <c r="AL1784" s="19"/>
    </row>
    <row r="1785" spans="1:38" s="11" customFormat="1" x14ac:dyDescent="0.25">
      <c r="A1785" s="3"/>
      <c r="F1785" s="19"/>
      <c r="G1785" s="19"/>
      <c r="N1785" s="19"/>
      <c r="P1785" s="19"/>
      <c r="AL1785" s="19"/>
    </row>
    <row r="1786" spans="1:38" s="11" customFormat="1" x14ac:dyDescent="0.25">
      <c r="A1786" s="3"/>
      <c r="F1786" s="19"/>
      <c r="G1786" s="19"/>
      <c r="N1786" s="19"/>
      <c r="P1786" s="19"/>
      <c r="AL1786" s="19"/>
    </row>
    <row r="1787" spans="1:38" s="11" customFormat="1" x14ac:dyDescent="0.25">
      <c r="A1787" s="3"/>
      <c r="F1787" s="19"/>
      <c r="G1787" s="19"/>
      <c r="N1787" s="19"/>
      <c r="P1787" s="19"/>
      <c r="AL1787" s="19"/>
    </row>
    <row r="1788" spans="1:38" s="11" customFormat="1" x14ac:dyDescent="0.25">
      <c r="A1788" s="3"/>
      <c r="F1788" s="19"/>
      <c r="G1788" s="19"/>
      <c r="N1788" s="19"/>
      <c r="P1788" s="19"/>
      <c r="AL1788" s="19"/>
    </row>
    <row r="1789" spans="1:38" s="11" customFormat="1" x14ac:dyDescent="0.25">
      <c r="A1789" s="3"/>
      <c r="F1789" s="19"/>
      <c r="G1789" s="19"/>
      <c r="N1789" s="19"/>
      <c r="P1789" s="19"/>
      <c r="AL1789" s="19"/>
    </row>
    <row r="1790" spans="1:38" s="11" customFormat="1" x14ac:dyDescent="0.25">
      <c r="A1790" s="3"/>
      <c r="F1790" s="19"/>
      <c r="G1790" s="19"/>
      <c r="N1790" s="19"/>
      <c r="P1790" s="19"/>
      <c r="AL1790" s="19"/>
    </row>
    <row r="1791" spans="1:38" s="11" customFormat="1" x14ac:dyDescent="0.25">
      <c r="A1791" s="3"/>
      <c r="F1791" s="19"/>
      <c r="G1791" s="19"/>
      <c r="N1791" s="19"/>
      <c r="P1791" s="19"/>
      <c r="AL1791" s="19"/>
    </row>
    <row r="1792" spans="1:38" s="11" customFormat="1" x14ac:dyDescent="0.25">
      <c r="A1792" s="3"/>
      <c r="F1792" s="19"/>
      <c r="G1792" s="19"/>
      <c r="N1792" s="19"/>
      <c r="P1792" s="19"/>
      <c r="AL1792" s="19"/>
    </row>
    <row r="1793" spans="1:38" s="11" customFormat="1" x14ac:dyDescent="0.25">
      <c r="A1793" s="3"/>
      <c r="F1793" s="19"/>
      <c r="G1793" s="19"/>
      <c r="N1793" s="19"/>
      <c r="P1793" s="19"/>
      <c r="AL1793" s="19"/>
    </row>
    <row r="1794" spans="1:38" s="11" customFormat="1" x14ac:dyDescent="0.25">
      <c r="A1794" s="3"/>
      <c r="F1794" s="19"/>
      <c r="G1794" s="19"/>
      <c r="N1794" s="19"/>
      <c r="P1794" s="19"/>
      <c r="AL1794" s="19"/>
    </row>
    <row r="1795" spans="1:38" s="11" customFormat="1" x14ac:dyDescent="0.25">
      <c r="A1795" s="3"/>
      <c r="F1795" s="19"/>
      <c r="G1795" s="19"/>
      <c r="N1795" s="19"/>
      <c r="P1795" s="19"/>
      <c r="AL1795" s="19"/>
    </row>
    <row r="1796" spans="1:38" s="11" customFormat="1" x14ac:dyDescent="0.25">
      <c r="A1796" s="3"/>
      <c r="F1796" s="19"/>
      <c r="G1796" s="19"/>
      <c r="N1796" s="19"/>
      <c r="P1796" s="19"/>
      <c r="AL1796" s="19"/>
    </row>
    <row r="1797" spans="1:38" s="11" customFormat="1" x14ac:dyDescent="0.25">
      <c r="A1797" s="3"/>
      <c r="F1797" s="19"/>
      <c r="G1797" s="19"/>
      <c r="N1797" s="19"/>
      <c r="P1797" s="19"/>
      <c r="AL1797" s="19"/>
    </row>
    <row r="1798" spans="1:38" s="11" customFormat="1" x14ac:dyDescent="0.25">
      <c r="A1798" s="3"/>
      <c r="F1798" s="19"/>
      <c r="G1798" s="19"/>
      <c r="N1798" s="19"/>
      <c r="P1798" s="19"/>
      <c r="AL1798" s="19"/>
    </row>
    <row r="1799" spans="1:38" s="11" customFormat="1" x14ac:dyDescent="0.25">
      <c r="A1799" s="3"/>
      <c r="F1799" s="19"/>
      <c r="G1799" s="19"/>
      <c r="N1799" s="19"/>
      <c r="P1799" s="19"/>
      <c r="AL1799" s="19"/>
    </row>
    <row r="1800" spans="1:38" s="11" customFormat="1" x14ac:dyDescent="0.25">
      <c r="A1800" s="3"/>
      <c r="F1800" s="19"/>
      <c r="G1800" s="19"/>
      <c r="N1800" s="19"/>
      <c r="P1800" s="19"/>
      <c r="AL1800" s="19"/>
    </row>
    <row r="1801" spans="1:38" s="11" customFormat="1" x14ac:dyDescent="0.25">
      <c r="A1801" s="3"/>
      <c r="F1801" s="19"/>
      <c r="G1801" s="19"/>
      <c r="N1801" s="19"/>
      <c r="P1801" s="19"/>
      <c r="AL1801" s="19"/>
    </row>
    <row r="1802" spans="1:38" s="11" customFormat="1" x14ac:dyDescent="0.25">
      <c r="A1802" s="3"/>
      <c r="F1802" s="19"/>
      <c r="G1802" s="19"/>
      <c r="N1802" s="19"/>
      <c r="P1802" s="19"/>
      <c r="AL1802" s="19"/>
    </row>
    <row r="1803" spans="1:38" s="11" customFormat="1" x14ac:dyDescent="0.25">
      <c r="A1803" s="3"/>
      <c r="F1803" s="19"/>
      <c r="G1803" s="19"/>
      <c r="N1803" s="19"/>
      <c r="P1803" s="19"/>
      <c r="AL1803" s="19"/>
    </row>
    <row r="1804" spans="1:38" s="11" customFormat="1" x14ac:dyDescent="0.25">
      <c r="A1804" s="3"/>
      <c r="F1804" s="19"/>
      <c r="G1804" s="19"/>
      <c r="N1804" s="19"/>
      <c r="P1804" s="19"/>
      <c r="AL1804" s="19"/>
    </row>
    <row r="1805" spans="1:38" s="11" customFormat="1" x14ac:dyDescent="0.25">
      <c r="A1805" s="3"/>
      <c r="F1805" s="19"/>
      <c r="G1805" s="19"/>
      <c r="N1805" s="19"/>
      <c r="P1805" s="19"/>
      <c r="AL1805" s="19"/>
    </row>
    <row r="1806" spans="1:38" s="11" customFormat="1" x14ac:dyDescent="0.25">
      <c r="A1806" s="3"/>
      <c r="F1806" s="19"/>
      <c r="G1806" s="19"/>
      <c r="N1806" s="19"/>
      <c r="P1806" s="19"/>
      <c r="AL1806" s="19"/>
    </row>
    <row r="1807" spans="1:38" s="11" customFormat="1" x14ac:dyDescent="0.25">
      <c r="A1807" s="3"/>
      <c r="F1807" s="19"/>
      <c r="G1807" s="19"/>
      <c r="N1807" s="19"/>
      <c r="P1807" s="19"/>
      <c r="AL1807" s="19"/>
    </row>
    <row r="1808" spans="1:38" s="11" customFormat="1" x14ac:dyDescent="0.25">
      <c r="A1808" s="3"/>
      <c r="F1808" s="19"/>
      <c r="G1808" s="19"/>
      <c r="N1808" s="19"/>
      <c r="P1808" s="19"/>
      <c r="AL1808" s="19"/>
    </row>
    <row r="1809" spans="1:38" s="11" customFormat="1" x14ac:dyDescent="0.25">
      <c r="A1809" s="3"/>
      <c r="F1809" s="19"/>
      <c r="G1809" s="19"/>
      <c r="N1809" s="19"/>
      <c r="P1809" s="19"/>
      <c r="AL1809" s="19"/>
    </row>
    <row r="1810" spans="1:38" s="11" customFormat="1" x14ac:dyDescent="0.25">
      <c r="A1810" s="3"/>
      <c r="F1810" s="19"/>
      <c r="G1810" s="19"/>
      <c r="N1810" s="19"/>
      <c r="P1810" s="19"/>
      <c r="AL1810" s="19"/>
    </row>
    <row r="1811" spans="1:38" s="11" customFormat="1" x14ac:dyDescent="0.25">
      <c r="A1811" s="3"/>
      <c r="F1811" s="19"/>
      <c r="G1811" s="19"/>
      <c r="N1811" s="19"/>
      <c r="P1811" s="19"/>
      <c r="AL1811" s="19"/>
    </row>
    <row r="1812" spans="1:38" s="11" customFormat="1" x14ac:dyDescent="0.25">
      <c r="A1812" s="3"/>
      <c r="F1812" s="19"/>
      <c r="G1812" s="19"/>
      <c r="N1812" s="19"/>
      <c r="P1812" s="19"/>
      <c r="AL1812" s="19"/>
    </row>
    <row r="1813" spans="1:38" s="11" customFormat="1" x14ac:dyDescent="0.25">
      <c r="A1813" s="3"/>
      <c r="F1813" s="19"/>
      <c r="G1813" s="19"/>
      <c r="N1813" s="19"/>
      <c r="P1813" s="19"/>
      <c r="AL1813" s="19"/>
    </row>
    <row r="1814" spans="1:38" s="11" customFormat="1" x14ac:dyDescent="0.25">
      <c r="A1814" s="3"/>
      <c r="F1814" s="19"/>
      <c r="G1814" s="19"/>
      <c r="N1814" s="19"/>
      <c r="P1814" s="19"/>
      <c r="AL1814" s="19"/>
    </row>
    <row r="1815" spans="1:38" s="11" customFormat="1" x14ac:dyDescent="0.25">
      <c r="A1815" s="3"/>
      <c r="F1815" s="19"/>
      <c r="G1815" s="19"/>
      <c r="N1815" s="19"/>
      <c r="P1815" s="19"/>
      <c r="AL1815" s="19"/>
    </row>
    <row r="1816" spans="1:38" s="11" customFormat="1" x14ac:dyDescent="0.25">
      <c r="A1816" s="3"/>
      <c r="F1816" s="19"/>
      <c r="G1816" s="19"/>
      <c r="N1816" s="19"/>
      <c r="P1816" s="19"/>
      <c r="AL1816" s="19"/>
    </row>
    <row r="1817" spans="1:38" s="11" customFormat="1" x14ac:dyDescent="0.25">
      <c r="A1817" s="3"/>
      <c r="F1817" s="19"/>
      <c r="G1817" s="19"/>
      <c r="N1817" s="19"/>
      <c r="P1817" s="19"/>
      <c r="AL1817" s="19"/>
    </row>
    <row r="1818" spans="1:38" s="11" customFormat="1" x14ac:dyDescent="0.25">
      <c r="A1818" s="3"/>
      <c r="F1818" s="19"/>
      <c r="G1818" s="19"/>
      <c r="N1818" s="19"/>
      <c r="P1818" s="19"/>
      <c r="AL1818" s="19"/>
    </row>
    <row r="1819" spans="1:38" s="11" customFormat="1" x14ac:dyDescent="0.25">
      <c r="A1819" s="3"/>
      <c r="F1819" s="19"/>
      <c r="G1819" s="19"/>
      <c r="N1819" s="19"/>
      <c r="P1819" s="19"/>
      <c r="AL1819" s="19"/>
    </row>
    <row r="1820" spans="1:38" s="11" customFormat="1" x14ac:dyDescent="0.25">
      <c r="A1820" s="3"/>
      <c r="F1820" s="19"/>
      <c r="G1820" s="19"/>
      <c r="N1820" s="19"/>
      <c r="P1820" s="19"/>
      <c r="AL1820" s="19"/>
    </row>
    <row r="1821" spans="1:38" s="11" customFormat="1" x14ac:dyDescent="0.25">
      <c r="A1821" s="3"/>
      <c r="F1821" s="19"/>
      <c r="G1821" s="19"/>
      <c r="N1821" s="19"/>
      <c r="P1821" s="19"/>
      <c r="AL1821" s="19"/>
    </row>
    <row r="1822" spans="1:38" s="11" customFormat="1" x14ac:dyDescent="0.25">
      <c r="A1822" s="3"/>
      <c r="F1822" s="19"/>
      <c r="G1822" s="19"/>
      <c r="N1822" s="19"/>
      <c r="P1822" s="19"/>
      <c r="AL1822" s="19"/>
    </row>
    <row r="1823" spans="1:38" s="11" customFormat="1" x14ac:dyDescent="0.25">
      <c r="A1823" s="3"/>
      <c r="F1823" s="19"/>
      <c r="G1823" s="19"/>
      <c r="N1823" s="19"/>
      <c r="P1823" s="19"/>
      <c r="AL1823" s="19"/>
    </row>
    <row r="1824" spans="1:38" s="11" customFormat="1" x14ac:dyDescent="0.25">
      <c r="A1824" s="3"/>
      <c r="F1824" s="19"/>
      <c r="G1824" s="19"/>
      <c r="N1824" s="19"/>
      <c r="P1824" s="19"/>
      <c r="AL1824" s="19"/>
    </row>
    <row r="1825" spans="1:38" s="11" customFormat="1" x14ac:dyDescent="0.25">
      <c r="A1825" s="3"/>
      <c r="F1825" s="19"/>
      <c r="G1825" s="19"/>
      <c r="N1825" s="19"/>
      <c r="P1825" s="19"/>
      <c r="AL1825" s="19"/>
    </row>
    <row r="1826" spans="1:38" s="11" customFormat="1" x14ac:dyDescent="0.25">
      <c r="A1826" s="3"/>
      <c r="F1826" s="19"/>
      <c r="G1826" s="19"/>
      <c r="N1826" s="19"/>
      <c r="P1826" s="19"/>
      <c r="AL1826" s="19"/>
    </row>
    <row r="1827" spans="1:38" s="11" customFormat="1" x14ac:dyDescent="0.25">
      <c r="A1827" s="3"/>
      <c r="F1827" s="19"/>
      <c r="G1827" s="19"/>
      <c r="N1827" s="19"/>
      <c r="P1827" s="19"/>
      <c r="AL1827" s="19"/>
    </row>
    <row r="1828" spans="1:38" s="11" customFormat="1" x14ac:dyDescent="0.25">
      <c r="A1828" s="3"/>
      <c r="F1828" s="19"/>
      <c r="G1828" s="19"/>
      <c r="N1828" s="19"/>
      <c r="P1828" s="19"/>
      <c r="AL1828" s="19"/>
    </row>
    <row r="1829" spans="1:38" s="11" customFormat="1" x14ac:dyDescent="0.25">
      <c r="A1829" s="3"/>
      <c r="F1829" s="19"/>
      <c r="G1829" s="19"/>
      <c r="N1829" s="19"/>
      <c r="P1829" s="19"/>
      <c r="AL1829" s="19"/>
    </row>
    <row r="1830" spans="1:38" s="11" customFormat="1" x14ac:dyDescent="0.25">
      <c r="A1830" s="3"/>
      <c r="F1830" s="19"/>
      <c r="G1830" s="19"/>
      <c r="N1830" s="19"/>
      <c r="P1830" s="19"/>
      <c r="AL1830" s="19"/>
    </row>
    <row r="1831" spans="1:38" s="11" customFormat="1" x14ac:dyDescent="0.25">
      <c r="A1831" s="3"/>
      <c r="F1831" s="19"/>
      <c r="G1831" s="19"/>
      <c r="N1831" s="19"/>
      <c r="P1831" s="19"/>
      <c r="AL1831" s="19"/>
    </row>
    <row r="1832" spans="1:38" s="11" customFormat="1" x14ac:dyDescent="0.25">
      <c r="A1832" s="3"/>
      <c r="F1832" s="19"/>
      <c r="G1832" s="19"/>
      <c r="N1832" s="19"/>
      <c r="P1832" s="19"/>
      <c r="AL1832" s="19"/>
    </row>
    <row r="1833" spans="1:38" s="11" customFormat="1" x14ac:dyDescent="0.25">
      <c r="A1833" s="3"/>
      <c r="F1833" s="19"/>
      <c r="G1833" s="19"/>
      <c r="N1833" s="19"/>
      <c r="P1833" s="19"/>
      <c r="AL1833" s="19"/>
    </row>
    <row r="1834" spans="1:38" s="11" customFormat="1" x14ac:dyDescent="0.25">
      <c r="A1834" s="3"/>
      <c r="F1834" s="19"/>
      <c r="G1834" s="19"/>
      <c r="N1834" s="19"/>
      <c r="P1834" s="19"/>
      <c r="AL1834" s="19"/>
    </row>
    <row r="1835" spans="1:38" s="11" customFormat="1" x14ac:dyDescent="0.25">
      <c r="A1835" s="3"/>
      <c r="F1835" s="19"/>
      <c r="G1835" s="19"/>
      <c r="N1835" s="19"/>
      <c r="P1835" s="19"/>
      <c r="AL1835" s="19"/>
    </row>
    <row r="1836" spans="1:38" s="11" customFormat="1" x14ac:dyDescent="0.25">
      <c r="A1836" s="3"/>
      <c r="F1836" s="19"/>
      <c r="G1836" s="19"/>
      <c r="N1836" s="19"/>
      <c r="P1836" s="19"/>
      <c r="AL1836" s="19"/>
    </row>
    <row r="1837" spans="1:38" s="11" customFormat="1" x14ac:dyDescent="0.25">
      <c r="A1837" s="3"/>
      <c r="F1837" s="19"/>
      <c r="G1837" s="19"/>
      <c r="N1837" s="19"/>
      <c r="P1837" s="19"/>
      <c r="AL1837" s="19"/>
    </row>
    <row r="1838" spans="1:38" s="11" customFormat="1" x14ac:dyDescent="0.25">
      <c r="A1838" s="3"/>
      <c r="F1838" s="19"/>
      <c r="G1838" s="19"/>
      <c r="N1838" s="19"/>
      <c r="P1838" s="19"/>
      <c r="AL1838" s="19"/>
    </row>
    <row r="1839" spans="1:38" s="11" customFormat="1" x14ac:dyDescent="0.25">
      <c r="A1839" s="3"/>
      <c r="F1839" s="19"/>
      <c r="G1839" s="19"/>
      <c r="N1839" s="19"/>
      <c r="P1839" s="19"/>
      <c r="AL1839" s="19"/>
    </row>
    <row r="1840" spans="1:38" s="11" customFormat="1" x14ac:dyDescent="0.25">
      <c r="A1840" s="3"/>
      <c r="F1840" s="19"/>
      <c r="G1840" s="19"/>
      <c r="N1840" s="19"/>
      <c r="P1840" s="19"/>
      <c r="AL1840" s="19"/>
    </row>
    <row r="1841" spans="1:38" s="11" customFormat="1" x14ac:dyDescent="0.25">
      <c r="A1841" s="3"/>
      <c r="F1841" s="19"/>
      <c r="G1841" s="19"/>
      <c r="N1841" s="19"/>
      <c r="P1841" s="19"/>
      <c r="AL1841" s="19"/>
    </row>
    <row r="1842" spans="1:38" s="11" customFormat="1" x14ac:dyDescent="0.25">
      <c r="A1842" s="3"/>
      <c r="F1842" s="19"/>
      <c r="G1842" s="19"/>
      <c r="N1842" s="19"/>
      <c r="P1842" s="19"/>
      <c r="AL1842" s="19"/>
    </row>
    <row r="1843" spans="1:38" s="11" customFormat="1" x14ac:dyDescent="0.25">
      <c r="A1843" s="3"/>
      <c r="F1843" s="19"/>
      <c r="G1843" s="19"/>
      <c r="N1843" s="19"/>
      <c r="P1843" s="19"/>
      <c r="AL1843" s="19"/>
    </row>
    <row r="1844" spans="1:38" s="11" customFormat="1" x14ac:dyDescent="0.25">
      <c r="A1844" s="3"/>
      <c r="F1844" s="19"/>
      <c r="G1844" s="19"/>
      <c r="N1844" s="19"/>
      <c r="P1844" s="19"/>
      <c r="AL1844" s="19"/>
    </row>
    <row r="1845" spans="1:38" s="11" customFormat="1" x14ac:dyDescent="0.25">
      <c r="A1845" s="3"/>
      <c r="F1845" s="19"/>
      <c r="G1845" s="19"/>
      <c r="N1845" s="19"/>
      <c r="P1845" s="19"/>
      <c r="AL1845" s="19"/>
    </row>
    <row r="1846" spans="1:38" s="11" customFormat="1" x14ac:dyDescent="0.25">
      <c r="A1846" s="3"/>
      <c r="F1846" s="19"/>
      <c r="G1846" s="19"/>
      <c r="N1846" s="19"/>
      <c r="P1846" s="19"/>
      <c r="AL1846" s="19"/>
    </row>
    <row r="1847" spans="1:38" s="11" customFormat="1" x14ac:dyDescent="0.25">
      <c r="A1847" s="3"/>
      <c r="F1847" s="19"/>
      <c r="G1847" s="19"/>
      <c r="N1847" s="19"/>
      <c r="P1847" s="19"/>
      <c r="AL1847" s="19"/>
    </row>
    <row r="1848" spans="1:38" s="11" customFormat="1" x14ac:dyDescent="0.25">
      <c r="A1848" s="3"/>
      <c r="F1848" s="19"/>
      <c r="G1848" s="19"/>
      <c r="N1848" s="19"/>
      <c r="P1848" s="19"/>
      <c r="AL1848" s="19"/>
    </row>
    <row r="1849" spans="1:38" s="11" customFormat="1" x14ac:dyDescent="0.25">
      <c r="A1849" s="3"/>
      <c r="F1849" s="19"/>
      <c r="G1849" s="19"/>
      <c r="N1849" s="19"/>
      <c r="P1849" s="19"/>
      <c r="AL1849" s="19"/>
    </row>
    <row r="1850" spans="1:38" s="11" customFormat="1" x14ac:dyDescent="0.25">
      <c r="A1850" s="3"/>
      <c r="F1850" s="19"/>
      <c r="G1850" s="19"/>
      <c r="N1850" s="19"/>
      <c r="P1850" s="19"/>
      <c r="AL1850" s="19"/>
    </row>
    <row r="1851" spans="1:38" s="11" customFormat="1" x14ac:dyDescent="0.25">
      <c r="A1851" s="3"/>
      <c r="F1851" s="19"/>
      <c r="G1851" s="19"/>
      <c r="N1851" s="19"/>
      <c r="P1851" s="19"/>
      <c r="AL1851" s="19"/>
    </row>
    <row r="1852" spans="1:38" s="11" customFormat="1" x14ac:dyDescent="0.25">
      <c r="A1852" s="3"/>
      <c r="F1852" s="19"/>
      <c r="G1852" s="19"/>
      <c r="N1852" s="19"/>
      <c r="P1852" s="19"/>
      <c r="AL1852" s="19"/>
    </row>
    <row r="1853" spans="1:38" s="11" customFormat="1" x14ac:dyDescent="0.25">
      <c r="A1853" s="3"/>
      <c r="F1853" s="19"/>
      <c r="G1853" s="19"/>
      <c r="N1853" s="19"/>
      <c r="P1853" s="19"/>
      <c r="AL1853" s="19"/>
    </row>
    <row r="1854" spans="1:38" s="11" customFormat="1" x14ac:dyDescent="0.25">
      <c r="A1854" s="3"/>
      <c r="F1854" s="19"/>
      <c r="G1854" s="19"/>
      <c r="N1854" s="19"/>
      <c r="P1854" s="19"/>
      <c r="AL1854" s="19"/>
    </row>
    <row r="1855" spans="1:38" s="11" customFormat="1" x14ac:dyDescent="0.25">
      <c r="A1855" s="3"/>
      <c r="F1855" s="19"/>
      <c r="G1855" s="19"/>
      <c r="N1855" s="19"/>
      <c r="P1855" s="19"/>
      <c r="AL1855" s="19"/>
    </row>
    <row r="1856" spans="1:38" s="11" customFormat="1" x14ac:dyDescent="0.25">
      <c r="A1856" s="3"/>
      <c r="F1856" s="19"/>
      <c r="G1856" s="19"/>
      <c r="N1856" s="19"/>
      <c r="P1856" s="19"/>
      <c r="AL1856" s="19"/>
    </row>
    <row r="1857" spans="1:38" s="11" customFormat="1" x14ac:dyDescent="0.25">
      <c r="A1857" s="3"/>
      <c r="F1857" s="19"/>
      <c r="G1857" s="19"/>
      <c r="N1857" s="19"/>
      <c r="P1857" s="19"/>
      <c r="AL1857" s="19"/>
    </row>
    <row r="1858" spans="1:38" s="11" customFormat="1" x14ac:dyDescent="0.25">
      <c r="A1858" s="3"/>
      <c r="F1858" s="19"/>
      <c r="G1858" s="19"/>
      <c r="N1858" s="19"/>
      <c r="P1858" s="19"/>
      <c r="AL1858" s="19"/>
    </row>
    <row r="1859" spans="1:38" s="11" customFormat="1" x14ac:dyDescent="0.25">
      <c r="A1859" s="3"/>
      <c r="F1859" s="19"/>
      <c r="G1859" s="19"/>
      <c r="N1859" s="19"/>
      <c r="P1859" s="19"/>
      <c r="AL1859" s="19"/>
    </row>
    <row r="1860" spans="1:38" s="11" customFormat="1" x14ac:dyDescent="0.25">
      <c r="A1860" s="3"/>
      <c r="F1860" s="19"/>
      <c r="G1860" s="19"/>
      <c r="N1860" s="19"/>
      <c r="P1860" s="19"/>
      <c r="AL1860" s="19"/>
    </row>
    <row r="1861" spans="1:38" s="11" customFormat="1" x14ac:dyDescent="0.25">
      <c r="A1861" s="3"/>
      <c r="F1861" s="19"/>
      <c r="G1861" s="19"/>
      <c r="N1861" s="19"/>
      <c r="P1861" s="19"/>
      <c r="AL1861" s="19"/>
    </row>
    <row r="1862" spans="1:38" s="11" customFormat="1" x14ac:dyDescent="0.25">
      <c r="A1862" s="3"/>
      <c r="F1862" s="19"/>
      <c r="G1862" s="19"/>
      <c r="N1862" s="19"/>
      <c r="P1862" s="19"/>
      <c r="AL1862" s="19"/>
    </row>
    <row r="1863" spans="1:38" s="11" customFormat="1" x14ac:dyDescent="0.25">
      <c r="A1863" s="3"/>
      <c r="F1863" s="19"/>
      <c r="G1863" s="19"/>
      <c r="N1863" s="19"/>
      <c r="P1863" s="19"/>
      <c r="AL1863" s="19"/>
    </row>
    <row r="1864" spans="1:38" s="11" customFormat="1" x14ac:dyDescent="0.25">
      <c r="A1864" s="3"/>
      <c r="F1864" s="19"/>
      <c r="G1864" s="19"/>
      <c r="N1864" s="19"/>
      <c r="P1864" s="19"/>
      <c r="AL1864" s="19"/>
    </row>
    <row r="1865" spans="1:38" s="11" customFormat="1" x14ac:dyDescent="0.25">
      <c r="A1865" s="3"/>
      <c r="F1865" s="19"/>
      <c r="G1865" s="19"/>
      <c r="N1865" s="19"/>
      <c r="P1865" s="19"/>
      <c r="AL1865" s="19"/>
    </row>
    <row r="1866" spans="1:38" s="11" customFormat="1" x14ac:dyDescent="0.25">
      <c r="A1866" s="3"/>
      <c r="F1866" s="19"/>
      <c r="G1866" s="19"/>
      <c r="N1866" s="19"/>
      <c r="P1866" s="19"/>
      <c r="AL1866" s="19"/>
    </row>
    <row r="1867" spans="1:38" s="11" customFormat="1" x14ac:dyDescent="0.25">
      <c r="A1867" s="3"/>
      <c r="F1867" s="19"/>
      <c r="G1867" s="19"/>
      <c r="N1867" s="19"/>
      <c r="P1867" s="19"/>
      <c r="AL1867" s="19"/>
    </row>
    <row r="1868" spans="1:38" s="11" customFormat="1" x14ac:dyDescent="0.25">
      <c r="A1868" s="3"/>
      <c r="F1868" s="19"/>
      <c r="G1868" s="19"/>
      <c r="N1868" s="19"/>
      <c r="P1868" s="19"/>
      <c r="AL1868" s="19"/>
    </row>
    <row r="1869" spans="1:38" s="11" customFormat="1" x14ac:dyDescent="0.25">
      <c r="A1869" s="3"/>
      <c r="F1869" s="19"/>
      <c r="G1869" s="19"/>
      <c r="N1869" s="19"/>
      <c r="P1869" s="19"/>
      <c r="AL1869" s="19"/>
    </row>
    <row r="1870" spans="1:38" s="11" customFormat="1" x14ac:dyDescent="0.25">
      <c r="A1870" s="3"/>
      <c r="F1870" s="19"/>
      <c r="G1870" s="19"/>
      <c r="N1870" s="19"/>
      <c r="P1870" s="19"/>
      <c r="AL1870" s="19"/>
    </row>
    <row r="1871" spans="1:38" s="11" customFormat="1" x14ac:dyDescent="0.25">
      <c r="A1871" s="3"/>
      <c r="F1871" s="19"/>
      <c r="G1871" s="19"/>
      <c r="N1871" s="19"/>
      <c r="P1871" s="19"/>
      <c r="AL1871" s="19"/>
    </row>
    <row r="1872" spans="1:38" s="11" customFormat="1" x14ac:dyDescent="0.25">
      <c r="A1872" s="3"/>
      <c r="F1872" s="19"/>
      <c r="G1872" s="19"/>
      <c r="N1872" s="19"/>
      <c r="P1872" s="19"/>
      <c r="AL1872" s="19"/>
    </row>
    <row r="1873" spans="1:38" s="11" customFormat="1" x14ac:dyDescent="0.25">
      <c r="A1873" s="3"/>
      <c r="F1873" s="19"/>
      <c r="G1873" s="19"/>
      <c r="N1873" s="19"/>
      <c r="P1873" s="19"/>
      <c r="AL1873" s="19"/>
    </row>
    <row r="1874" spans="1:38" s="11" customFormat="1" x14ac:dyDescent="0.25">
      <c r="A1874" s="3"/>
      <c r="F1874" s="19"/>
      <c r="G1874" s="19"/>
      <c r="N1874" s="19"/>
      <c r="P1874" s="19"/>
      <c r="AL1874" s="19"/>
    </row>
    <row r="1875" spans="1:38" s="11" customFormat="1" x14ac:dyDescent="0.25">
      <c r="A1875" s="3"/>
      <c r="F1875" s="19"/>
      <c r="G1875" s="19"/>
      <c r="N1875" s="19"/>
      <c r="P1875" s="19"/>
      <c r="AL1875" s="19"/>
    </row>
    <row r="1876" spans="1:38" s="11" customFormat="1" x14ac:dyDescent="0.25">
      <c r="A1876" s="3"/>
      <c r="F1876" s="19"/>
      <c r="G1876" s="19"/>
      <c r="N1876" s="19"/>
      <c r="P1876" s="19"/>
      <c r="AL1876" s="19"/>
    </row>
    <row r="1877" spans="1:38" s="11" customFormat="1" x14ac:dyDescent="0.25">
      <c r="A1877" s="3"/>
      <c r="F1877" s="19"/>
      <c r="G1877" s="19"/>
      <c r="N1877" s="19"/>
      <c r="P1877" s="19"/>
      <c r="AL1877" s="19"/>
    </row>
    <row r="1878" spans="1:38" s="11" customFormat="1" x14ac:dyDescent="0.25">
      <c r="A1878" s="3"/>
      <c r="F1878" s="19"/>
      <c r="G1878" s="19"/>
      <c r="N1878" s="19"/>
      <c r="P1878" s="19"/>
      <c r="AL1878" s="19"/>
    </row>
    <row r="1879" spans="1:38" s="11" customFormat="1" x14ac:dyDescent="0.25">
      <c r="A1879" s="3"/>
      <c r="F1879" s="19"/>
      <c r="G1879" s="19"/>
      <c r="N1879" s="19"/>
      <c r="P1879" s="19"/>
      <c r="AL1879" s="19"/>
    </row>
    <row r="1880" spans="1:38" s="11" customFormat="1" x14ac:dyDescent="0.25">
      <c r="A1880" s="3"/>
      <c r="F1880" s="19"/>
      <c r="G1880" s="19"/>
      <c r="N1880" s="19"/>
      <c r="P1880" s="19"/>
      <c r="AL1880" s="19"/>
    </row>
    <row r="1881" spans="1:38" s="11" customFormat="1" x14ac:dyDescent="0.25">
      <c r="A1881" s="3"/>
      <c r="F1881" s="19"/>
      <c r="G1881" s="19"/>
      <c r="N1881" s="19"/>
      <c r="P1881" s="19"/>
      <c r="AL1881" s="19"/>
    </row>
    <row r="1882" spans="1:38" s="11" customFormat="1" x14ac:dyDescent="0.25">
      <c r="A1882" s="3"/>
      <c r="F1882" s="19"/>
      <c r="G1882" s="19"/>
      <c r="N1882" s="19"/>
      <c r="P1882" s="19"/>
      <c r="AL1882" s="19"/>
    </row>
    <row r="1883" spans="1:38" s="11" customFormat="1" x14ac:dyDescent="0.25">
      <c r="A1883" s="3"/>
      <c r="F1883" s="19"/>
      <c r="G1883" s="19"/>
      <c r="N1883" s="19"/>
      <c r="P1883" s="19"/>
      <c r="AL1883" s="19"/>
    </row>
    <row r="1884" spans="1:38" s="11" customFormat="1" x14ac:dyDescent="0.25">
      <c r="A1884" s="3"/>
      <c r="F1884" s="19"/>
      <c r="G1884" s="19"/>
      <c r="N1884" s="19"/>
      <c r="P1884" s="19"/>
      <c r="AL1884" s="19"/>
    </row>
    <row r="1885" spans="1:38" s="11" customFormat="1" x14ac:dyDescent="0.25">
      <c r="A1885" s="3"/>
      <c r="F1885" s="19"/>
      <c r="G1885" s="19"/>
      <c r="N1885" s="19"/>
      <c r="P1885" s="19"/>
      <c r="AL1885" s="19"/>
    </row>
    <row r="1886" spans="1:38" s="11" customFormat="1" x14ac:dyDescent="0.25">
      <c r="A1886" s="3"/>
      <c r="F1886" s="19"/>
      <c r="G1886" s="19"/>
      <c r="N1886" s="19"/>
      <c r="P1886" s="19"/>
      <c r="AL1886" s="19"/>
    </row>
    <row r="1887" spans="1:38" s="11" customFormat="1" x14ac:dyDescent="0.25">
      <c r="A1887" s="3"/>
      <c r="F1887" s="19"/>
      <c r="G1887" s="19"/>
      <c r="N1887" s="19"/>
      <c r="P1887" s="19"/>
      <c r="AL1887" s="19"/>
    </row>
    <row r="1888" spans="1:38" s="11" customFormat="1" x14ac:dyDescent="0.25">
      <c r="A1888" s="3"/>
      <c r="F1888" s="19"/>
      <c r="G1888" s="19"/>
      <c r="N1888" s="19"/>
      <c r="P1888" s="19"/>
      <c r="AL1888" s="19"/>
    </row>
    <row r="1889" spans="1:38" s="11" customFormat="1" x14ac:dyDescent="0.25">
      <c r="A1889" s="3"/>
      <c r="F1889" s="19"/>
      <c r="G1889" s="19"/>
      <c r="N1889" s="19"/>
      <c r="P1889" s="19"/>
      <c r="AL1889" s="19"/>
    </row>
    <row r="1890" spans="1:38" s="11" customFormat="1" x14ac:dyDescent="0.25">
      <c r="A1890" s="3"/>
      <c r="F1890" s="19"/>
      <c r="G1890" s="19"/>
      <c r="N1890" s="19"/>
      <c r="P1890" s="19"/>
      <c r="AL1890" s="19"/>
    </row>
    <row r="1891" spans="1:38" s="11" customFormat="1" x14ac:dyDescent="0.25">
      <c r="A1891" s="3"/>
      <c r="F1891" s="19"/>
      <c r="G1891" s="19"/>
      <c r="N1891" s="19"/>
      <c r="P1891" s="19"/>
      <c r="AL1891" s="19"/>
    </row>
    <row r="1892" spans="1:38" s="11" customFormat="1" x14ac:dyDescent="0.25">
      <c r="A1892" s="3"/>
      <c r="F1892" s="19"/>
      <c r="G1892" s="19"/>
      <c r="N1892" s="19"/>
      <c r="P1892" s="19"/>
      <c r="AL1892" s="19"/>
    </row>
    <row r="1893" spans="1:38" s="11" customFormat="1" x14ac:dyDescent="0.25">
      <c r="A1893" s="3"/>
      <c r="F1893" s="19"/>
      <c r="G1893" s="19"/>
      <c r="N1893" s="19"/>
      <c r="P1893" s="19"/>
      <c r="AL1893" s="19"/>
    </row>
    <row r="1894" spans="1:38" s="11" customFormat="1" x14ac:dyDescent="0.25">
      <c r="A1894" s="3"/>
      <c r="F1894" s="19"/>
      <c r="G1894" s="19"/>
      <c r="N1894" s="19"/>
      <c r="P1894" s="19"/>
      <c r="AL1894" s="19"/>
    </row>
    <row r="1895" spans="1:38" s="11" customFormat="1" x14ac:dyDescent="0.25">
      <c r="A1895" s="3"/>
      <c r="F1895" s="19"/>
      <c r="G1895" s="19"/>
      <c r="N1895" s="19"/>
      <c r="P1895" s="19"/>
      <c r="AL1895" s="19"/>
    </row>
    <row r="1896" spans="1:38" s="11" customFormat="1" x14ac:dyDescent="0.25">
      <c r="A1896" s="3"/>
      <c r="F1896" s="19"/>
      <c r="G1896" s="19"/>
      <c r="N1896" s="19"/>
      <c r="P1896" s="19"/>
      <c r="AL1896" s="19"/>
    </row>
    <row r="1897" spans="1:38" s="11" customFormat="1" x14ac:dyDescent="0.25">
      <c r="A1897" s="3"/>
      <c r="F1897" s="19"/>
      <c r="G1897" s="19"/>
      <c r="N1897" s="19"/>
      <c r="P1897" s="19"/>
      <c r="AL1897" s="19"/>
    </row>
    <row r="1898" spans="1:38" s="11" customFormat="1" x14ac:dyDescent="0.25">
      <c r="A1898" s="3"/>
      <c r="F1898" s="19"/>
      <c r="G1898" s="19"/>
      <c r="N1898" s="19"/>
      <c r="P1898" s="19"/>
      <c r="AL1898" s="19"/>
    </row>
    <row r="1899" spans="1:38" s="11" customFormat="1" x14ac:dyDescent="0.25">
      <c r="A1899" s="3"/>
      <c r="F1899" s="19"/>
      <c r="G1899" s="19"/>
      <c r="N1899" s="19"/>
      <c r="P1899" s="19"/>
      <c r="AL1899" s="19"/>
    </row>
    <row r="1900" spans="1:38" s="11" customFormat="1" x14ac:dyDescent="0.25">
      <c r="A1900" s="3"/>
      <c r="F1900" s="19"/>
      <c r="G1900" s="19"/>
      <c r="N1900" s="19"/>
      <c r="P1900" s="19"/>
      <c r="AL1900" s="19"/>
    </row>
    <row r="1901" spans="1:38" s="11" customFormat="1" x14ac:dyDescent="0.25">
      <c r="A1901" s="3"/>
      <c r="F1901" s="19"/>
      <c r="G1901" s="19"/>
      <c r="N1901" s="19"/>
      <c r="P1901" s="19"/>
      <c r="AL1901" s="19"/>
    </row>
    <row r="1902" spans="1:38" s="11" customFormat="1" x14ac:dyDescent="0.25">
      <c r="A1902" s="3"/>
      <c r="F1902" s="19"/>
      <c r="G1902" s="19"/>
      <c r="N1902" s="19"/>
      <c r="P1902" s="19"/>
      <c r="AL1902" s="19"/>
    </row>
    <row r="1903" spans="1:38" s="11" customFormat="1" x14ac:dyDescent="0.25">
      <c r="A1903" s="3"/>
      <c r="F1903" s="19"/>
      <c r="G1903" s="19"/>
      <c r="N1903" s="19"/>
      <c r="P1903" s="19"/>
      <c r="AL1903" s="19"/>
    </row>
    <row r="1904" spans="1:38" s="11" customFormat="1" x14ac:dyDescent="0.25">
      <c r="A1904" s="3"/>
      <c r="F1904" s="19"/>
      <c r="G1904" s="19"/>
      <c r="N1904" s="19"/>
      <c r="P1904" s="19"/>
      <c r="AL1904" s="19"/>
    </row>
    <row r="1905" spans="1:38" s="11" customFormat="1" x14ac:dyDescent="0.25">
      <c r="A1905" s="3"/>
      <c r="F1905" s="19"/>
      <c r="G1905" s="19"/>
      <c r="N1905" s="19"/>
      <c r="P1905" s="19"/>
      <c r="AL1905" s="19"/>
    </row>
    <row r="1906" spans="1:38" s="11" customFormat="1" x14ac:dyDescent="0.25">
      <c r="A1906" s="3"/>
      <c r="F1906" s="19"/>
      <c r="G1906" s="19"/>
      <c r="N1906" s="19"/>
      <c r="P1906" s="19"/>
      <c r="AL1906" s="19"/>
    </row>
    <row r="1907" spans="1:38" s="11" customFormat="1" x14ac:dyDescent="0.25">
      <c r="A1907" s="3"/>
      <c r="F1907" s="19"/>
      <c r="G1907" s="19"/>
      <c r="N1907" s="19"/>
      <c r="P1907" s="19"/>
      <c r="AL1907" s="19"/>
    </row>
    <row r="1908" spans="1:38" s="11" customFormat="1" x14ac:dyDescent="0.25">
      <c r="A1908" s="3"/>
      <c r="F1908" s="19"/>
      <c r="G1908" s="19"/>
      <c r="N1908" s="19"/>
      <c r="P1908" s="19"/>
      <c r="AL1908" s="19"/>
    </row>
    <row r="1909" spans="1:38" s="11" customFormat="1" x14ac:dyDescent="0.25">
      <c r="A1909" s="3"/>
      <c r="F1909" s="19"/>
      <c r="G1909" s="19"/>
      <c r="N1909" s="19"/>
      <c r="P1909" s="19"/>
      <c r="AL1909" s="19"/>
    </row>
    <row r="1910" spans="1:38" s="11" customFormat="1" x14ac:dyDescent="0.25">
      <c r="A1910" s="3"/>
      <c r="F1910" s="19"/>
      <c r="G1910" s="19"/>
      <c r="N1910" s="19"/>
      <c r="P1910" s="19"/>
      <c r="AL1910" s="19"/>
    </row>
    <row r="1911" spans="1:38" s="11" customFormat="1" x14ac:dyDescent="0.25">
      <c r="A1911" s="3"/>
      <c r="F1911" s="19"/>
      <c r="G1911" s="19"/>
      <c r="N1911" s="19"/>
      <c r="P1911" s="19"/>
      <c r="AL1911" s="19"/>
    </row>
    <row r="1912" spans="1:38" s="11" customFormat="1" x14ac:dyDescent="0.25">
      <c r="A1912" s="3"/>
      <c r="F1912" s="19"/>
      <c r="G1912" s="19"/>
      <c r="N1912" s="19"/>
      <c r="P1912" s="19"/>
      <c r="AL1912" s="19"/>
    </row>
    <row r="1913" spans="1:38" s="11" customFormat="1" x14ac:dyDescent="0.25">
      <c r="A1913" s="3"/>
      <c r="F1913" s="19"/>
      <c r="G1913" s="19"/>
      <c r="N1913" s="19"/>
      <c r="P1913" s="19"/>
      <c r="AL1913" s="19"/>
    </row>
    <row r="1914" spans="1:38" s="11" customFormat="1" x14ac:dyDescent="0.25">
      <c r="A1914" s="3"/>
      <c r="F1914" s="19"/>
      <c r="G1914" s="19"/>
      <c r="N1914" s="19"/>
      <c r="P1914" s="19"/>
      <c r="AL1914" s="19"/>
    </row>
    <row r="1915" spans="1:38" s="11" customFormat="1" x14ac:dyDescent="0.25">
      <c r="A1915" s="3"/>
      <c r="F1915" s="19"/>
      <c r="G1915" s="19"/>
      <c r="N1915" s="19"/>
      <c r="P1915" s="19"/>
      <c r="AL1915" s="19"/>
    </row>
    <row r="1916" spans="1:38" s="11" customFormat="1" x14ac:dyDescent="0.25">
      <c r="A1916" s="3"/>
      <c r="F1916" s="19"/>
      <c r="G1916" s="19"/>
      <c r="N1916" s="19"/>
      <c r="P1916" s="19"/>
      <c r="AL1916" s="19"/>
    </row>
    <row r="1917" spans="1:38" s="11" customFormat="1" x14ac:dyDescent="0.25">
      <c r="A1917" s="3"/>
      <c r="F1917" s="19"/>
      <c r="G1917" s="19"/>
      <c r="N1917" s="19"/>
      <c r="P1917" s="19"/>
      <c r="AL1917" s="19"/>
    </row>
    <row r="1918" spans="1:38" s="11" customFormat="1" x14ac:dyDescent="0.25">
      <c r="A1918" s="3"/>
      <c r="F1918" s="19"/>
      <c r="G1918" s="19"/>
      <c r="N1918" s="19"/>
      <c r="P1918" s="19"/>
      <c r="AL1918" s="19"/>
    </row>
    <row r="1919" spans="1:38" s="11" customFormat="1" x14ac:dyDescent="0.25">
      <c r="A1919" s="3"/>
      <c r="F1919" s="19"/>
      <c r="G1919" s="19"/>
      <c r="N1919" s="19"/>
      <c r="P1919" s="19"/>
      <c r="AL1919" s="19"/>
    </row>
    <row r="1920" spans="1:38" s="11" customFormat="1" x14ac:dyDescent="0.25">
      <c r="A1920" s="3"/>
      <c r="F1920" s="19"/>
      <c r="G1920" s="19"/>
      <c r="N1920" s="19"/>
      <c r="P1920" s="19"/>
      <c r="AL1920" s="19"/>
    </row>
    <row r="1921" spans="1:38" s="11" customFormat="1" x14ac:dyDescent="0.25">
      <c r="A1921" s="3"/>
      <c r="F1921" s="19"/>
      <c r="G1921" s="19"/>
      <c r="N1921" s="19"/>
      <c r="P1921" s="19"/>
      <c r="AL1921" s="19"/>
    </row>
    <row r="1922" spans="1:38" s="11" customFormat="1" x14ac:dyDescent="0.25">
      <c r="A1922" s="3"/>
      <c r="F1922" s="19"/>
      <c r="G1922" s="19"/>
      <c r="N1922" s="19"/>
      <c r="P1922" s="19"/>
      <c r="AL1922" s="19"/>
    </row>
    <row r="1923" spans="1:38" s="11" customFormat="1" x14ac:dyDescent="0.25">
      <c r="A1923" s="3"/>
      <c r="F1923" s="19"/>
      <c r="G1923" s="19"/>
      <c r="N1923" s="19"/>
      <c r="P1923" s="19"/>
      <c r="AL1923" s="19"/>
    </row>
    <row r="1924" spans="1:38" s="11" customFormat="1" x14ac:dyDescent="0.25">
      <c r="A1924" s="3"/>
      <c r="F1924" s="19"/>
      <c r="G1924" s="19"/>
      <c r="N1924" s="19"/>
      <c r="P1924" s="19"/>
      <c r="AL1924" s="19"/>
    </row>
    <row r="1925" spans="1:38" s="11" customFormat="1" x14ac:dyDescent="0.25">
      <c r="A1925" s="3"/>
      <c r="F1925" s="19"/>
      <c r="G1925" s="19"/>
      <c r="N1925" s="19"/>
      <c r="P1925" s="19"/>
      <c r="AL1925" s="19"/>
    </row>
    <row r="1926" spans="1:38" s="11" customFormat="1" x14ac:dyDescent="0.25">
      <c r="A1926" s="3"/>
      <c r="F1926" s="19"/>
      <c r="G1926" s="19"/>
      <c r="N1926" s="19"/>
      <c r="P1926" s="19"/>
      <c r="AL1926" s="19"/>
    </row>
    <row r="1927" spans="1:38" s="11" customFormat="1" x14ac:dyDescent="0.25">
      <c r="A1927" s="3"/>
      <c r="F1927" s="19"/>
      <c r="G1927" s="19"/>
      <c r="N1927" s="19"/>
      <c r="P1927" s="19"/>
      <c r="AL1927" s="19"/>
    </row>
    <row r="1928" spans="1:38" s="11" customFormat="1" x14ac:dyDescent="0.25">
      <c r="A1928" s="3"/>
      <c r="F1928" s="19"/>
      <c r="G1928" s="19"/>
      <c r="N1928" s="19"/>
      <c r="P1928" s="19"/>
      <c r="AL1928" s="19"/>
    </row>
    <row r="1929" spans="1:38" s="11" customFormat="1" x14ac:dyDescent="0.25">
      <c r="A1929" s="3"/>
      <c r="F1929" s="19"/>
      <c r="G1929" s="19"/>
      <c r="N1929" s="19"/>
      <c r="P1929" s="19"/>
      <c r="AL1929" s="19"/>
    </row>
    <row r="1930" spans="1:38" s="11" customFormat="1" x14ac:dyDescent="0.25">
      <c r="A1930" s="3"/>
      <c r="F1930" s="19"/>
      <c r="G1930" s="19"/>
      <c r="N1930" s="19"/>
      <c r="P1930" s="19"/>
      <c r="AL1930" s="19"/>
    </row>
    <row r="1931" spans="1:38" s="11" customFormat="1" x14ac:dyDescent="0.25">
      <c r="A1931" s="3"/>
      <c r="F1931" s="19"/>
      <c r="G1931" s="19"/>
      <c r="N1931" s="19"/>
      <c r="P1931" s="19"/>
      <c r="AL1931" s="19"/>
    </row>
    <row r="1932" spans="1:38" s="11" customFormat="1" x14ac:dyDescent="0.25">
      <c r="A1932" s="3"/>
      <c r="F1932" s="19"/>
      <c r="G1932" s="19"/>
      <c r="N1932" s="19"/>
      <c r="P1932" s="19"/>
      <c r="AL1932" s="19"/>
    </row>
    <row r="1933" spans="1:38" s="11" customFormat="1" x14ac:dyDescent="0.25">
      <c r="A1933" s="3"/>
      <c r="F1933" s="19"/>
      <c r="G1933" s="19"/>
      <c r="N1933" s="19"/>
      <c r="P1933" s="19"/>
      <c r="AL1933" s="19"/>
    </row>
    <row r="1934" spans="1:38" s="11" customFormat="1" x14ac:dyDescent="0.25">
      <c r="A1934" s="3"/>
      <c r="F1934" s="19"/>
      <c r="G1934" s="19"/>
      <c r="N1934" s="19"/>
      <c r="P1934" s="19"/>
      <c r="AL1934" s="19"/>
    </row>
    <row r="1935" spans="1:38" s="11" customFormat="1" x14ac:dyDescent="0.25">
      <c r="A1935" s="3"/>
      <c r="F1935" s="19"/>
      <c r="G1935" s="19"/>
      <c r="N1935" s="19"/>
      <c r="P1935" s="19"/>
      <c r="AL1935" s="19"/>
    </row>
    <row r="1936" spans="1:38" s="11" customFormat="1" x14ac:dyDescent="0.25">
      <c r="A1936" s="3"/>
      <c r="F1936" s="19"/>
      <c r="G1936" s="19"/>
      <c r="N1936" s="19"/>
      <c r="P1936" s="19"/>
      <c r="AL1936" s="19"/>
    </row>
    <row r="1937" spans="1:38" s="11" customFormat="1" x14ac:dyDescent="0.25">
      <c r="A1937" s="3"/>
      <c r="F1937" s="19"/>
      <c r="G1937" s="19"/>
      <c r="N1937" s="19"/>
      <c r="P1937" s="19"/>
      <c r="AL1937" s="19"/>
    </row>
    <row r="1938" spans="1:38" s="11" customFormat="1" x14ac:dyDescent="0.25">
      <c r="A1938" s="3"/>
      <c r="F1938" s="19"/>
      <c r="G1938" s="19"/>
      <c r="N1938" s="19"/>
      <c r="P1938" s="19"/>
      <c r="AL1938" s="19"/>
    </row>
    <row r="1939" spans="1:38" s="11" customFormat="1" x14ac:dyDescent="0.25">
      <c r="A1939" s="3"/>
      <c r="F1939" s="19"/>
      <c r="G1939" s="19"/>
      <c r="N1939" s="19"/>
      <c r="P1939" s="19"/>
      <c r="AL1939" s="19"/>
    </row>
    <row r="1940" spans="1:38" s="11" customFormat="1" x14ac:dyDescent="0.25">
      <c r="A1940" s="3"/>
      <c r="F1940" s="19"/>
      <c r="G1940" s="19"/>
      <c r="N1940" s="19"/>
      <c r="P1940" s="19"/>
      <c r="AL1940" s="19"/>
    </row>
    <row r="1941" spans="1:38" s="11" customFormat="1" x14ac:dyDescent="0.25">
      <c r="A1941" s="3"/>
      <c r="F1941" s="19"/>
      <c r="G1941" s="19"/>
      <c r="N1941" s="19"/>
      <c r="P1941" s="19"/>
      <c r="AL1941" s="19"/>
    </row>
    <row r="1942" spans="1:38" s="11" customFormat="1" x14ac:dyDescent="0.25">
      <c r="A1942" s="3"/>
      <c r="F1942" s="19"/>
      <c r="G1942" s="19"/>
      <c r="N1942" s="19"/>
      <c r="P1942" s="19"/>
      <c r="AL1942" s="19"/>
    </row>
    <row r="1943" spans="1:38" s="11" customFormat="1" x14ac:dyDescent="0.25">
      <c r="A1943" s="3"/>
      <c r="F1943" s="19"/>
      <c r="G1943" s="19"/>
      <c r="N1943" s="19"/>
      <c r="P1943" s="19"/>
      <c r="AL1943" s="19"/>
    </row>
    <row r="1944" spans="1:38" s="11" customFormat="1" x14ac:dyDescent="0.25">
      <c r="A1944" s="3"/>
      <c r="F1944" s="19"/>
      <c r="G1944" s="19"/>
      <c r="N1944" s="19"/>
      <c r="P1944" s="19"/>
      <c r="AL1944" s="19"/>
    </row>
    <row r="1945" spans="1:38" s="11" customFormat="1" x14ac:dyDescent="0.25">
      <c r="A1945" s="3"/>
      <c r="F1945" s="19"/>
      <c r="G1945" s="19"/>
      <c r="N1945" s="19"/>
      <c r="P1945" s="19"/>
      <c r="AL1945" s="19"/>
    </row>
    <row r="1946" spans="1:38" s="11" customFormat="1" x14ac:dyDescent="0.25">
      <c r="A1946" s="3"/>
      <c r="F1946" s="19"/>
      <c r="G1946" s="19"/>
      <c r="N1946" s="19"/>
      <c r="P1946" s="19"/>
      <c r="AL1946" s="19"/>
    </row>
    <row r="1947" spans="1:38" s="11" customFormat="1" x14ac:dyDescent="0.25">
      <c r="A1947" s="3"/>
      <c r="F1947" s="19"/>
      <c r="G1947" s="19"/>
      <c r="N1947" s="19"/>
      <c r="P1947" s="19"/>
      <c r="AL1947" s="19"/>
    </row>
    <row r="1948" spans="1:38" s="11" customFormat="1" x14ac:dyDescent="0.25">
      <c r="A1948" s="3"/>
      <c r="F1948" s="19"/>
      <c r="G1948" s="19"/>
      <c r="N1948" s="19"/>
      <c r="P1948" s="19"/>
      <c r="AL1948" s="19"/>
    </row>
    <row r="1949" spans="1:38" s="11" customFormat="1" x14ac:dyDescent="0.25">
      <c r="A1949" s="3"/>
      <c r="F1949" s="19"/>
      <c r="G1949" s="19"/>
      <c r="N1949" s="19"/>
      <c r="P1949" s="19"/>
      <c r="AL1949" s="19"/>
    </row>
    <row r="1950" spans="1:38" s="11" customFormat="1" x14ac:dyDescent="0.25">
      <c r="A1950" s="3"/>
      <c r="F1950" s="19"/>
      <c r="G1950" s="19"/>
      <c r="N1950" s="19"/>
      <c r="P1950" s="19"/>
      <c r="AL1950" s="19"/>
    </row>
    <row r="1951" spans="1:38" s="11" customFormat="1" x14ac:dyDescent="0.25">
      <c r="A1951" s="3"/>
      <c r="F1951" s="19"/>
      <c r="G1951" s="19"/>
      <c r="N1951" s="19"/>
      <c r="P1951" s="19"/>
      <c r="AL1951" s="19"/>
    </row>
    <row r="1952" spans="1:38" s="11" customFormat="1" x14ac:dyDescent="0.25">
      <c r="A1952" s="3"/>
      <c r="F1952" s="19"/>
      <c r="G1952" s="19"/>
      <c r="N1952" s="19"/>
      <c r="P1952" s="19"/>
      <c r="AL1952" s="19"/>
    </row>
    <row r="1953" spans="1:38" s="11" customFormat="1" x14ac:dyDescent="0.25">
      <c r="A1953" s="3"/>
      <c r="F1953" s="19"/>
      <c r="G1953" s="19"/>
      <c r="N1953" s="19"/>
      <c r="P1953" s="19"/>
      <c r="AL1953" s="19"/>
    </row>
    <row r="1954" spans="1:38" s="11" customFormat="1" x14ac:dyDescent="0.25">
      <c r="A1954" s="3"/>
      <c r="F1954" s="19"/>
      <c r="G1954" s="19"/>
      <c r="N1954" s="19"/>
      <c r="P1954" s="19"/>
      <c r="AL1954" s="19"/>
    </row>
    <row r="1955" spans="1:38" s="11" customFormat="1" x14ac:dyDescent="0.25">
      <c r="A1955" s="3"/>
      <c r="F1955" s="19"/>
      <c r="G1955" s="19"/>
      <c r="N1955" s="19"/>
      <c r="P1955" s="19"/>
      <c r="AL1955" s="19"/>
    </row>
    <row r="1956" spans="1:38" s="11" customFormat="1" x14ac:dyDescent="0.25">
      <c r="A1956" s="3"/>
      <c r="F1956" s="19"/>
      <c r="G1956" s="19"/>
      <c r="N1956" s="19"/>
      <c r="P1956" s="19"/>
      <c r="AL1956" s="19"/>
    </row>
    <row r="1957" spans="1:38" s="11" customFormat="1" x14ac:dyDescent="0.25">
      <c r="A1957" s="3"/>
      <c r="F1957" s="19"/>
      <c r="G1957" s="19"/>
      <c r="N1957" s="19"/>
      <c r="P1957" s="19"/>
      <c r="AL1957" s="19"/>
    </row>
    <row r="1958" spans="1:38" s="11" customFormat="1" x14ac:dyDescent="0.25">
      <c r="A1958" s="3"/>
      <c r="F1958" s="19"/>
      <c r="G1958" s="19"/>
      <c r="N1958" s="19"/>
      <c r="P1958" s="19"/>
      <c r="AL1958" s="19"/>
    </row>
    <row r="1959" spans="1:38" s="11" customFormat="1" x14ac:dyDescent="0.25">
      <c r="A1959" s="3"/>
      <c r="F1959" s="19"/>
      <c r="G1959" s="19"/>
      <c r="N1959" s="19"/>
      <c r="P1959" s="19"/>
      <c r="AL1959" s="19"/>
    </row>
    <row r="1960" spans="1:38" s="11" customFormat="1" x14ac:dyDescent="0.25">
      <c r="A1960" s="3"/>
      <c r="F1960" s="19"/>
      <c r="G1960" s="19"/>
      <c r="N1960" s="19"/>
      <c r="P1960" s="19"/>
      <c r="AL1960" s="19"/>
    </row>
    <row r="1961" spans="1:38" s="11" customFormat="1" x14ac:dyDescent="0.25">
      <c r="A1961" s="3"/>
      <c r="F1961" s="19"/>
      <c r="G1961" s="19"/>
      <c r="N1961" s="19"/>
      <c r="P1961" s="19"/>
      <c r="AL1961" s="19"/>
    </row>
    <row r="1962" spans="1:38" s="11" customFormat="1" x14ac:dyDescent="0.25">
      <c r="A1962" s="3"/>
      <c r="F1962" s="19"/>
      <c r="G1962" s="19"/>
      <c r="N1962" s="19"/>
      <c r="P1962" s="19"/>
      <c r="AL1962" s="19"/>
    </row>
    <row r="1963" spans="1:38" s="11" customFormat="1" x14ac:dyDescent="0.25">
      <c r="A1963" s="3"/>
      <c r="F1963" s="19"/>
      <c r="G1963" s="19"/>
      <c r="N1963" s="19"/>
      <c r="P1963" s="19"/>
      <c r="AL1963" s="19"/>
    </row>
    <row r="1964" spans="1:38" s="11" customFormat="1" x14ac:dyDescent="0.25">
      <c r="A1964" s="3"/>
      <c r="F1964" s="19"/>
      <c r="G1964" s="19"/>
      <c r="N1964" s="19"/>
      <c r="P1964" s="19"/>
      <c r="AL1964" s="19"/>
    </row>
    <row r="1965" spans="1:38" s="11" customFormat="1" x14ac:dyDescent="0.25">
      <c r="A1965" s="3"/>
      <c r="F1965" s="19"/>
      <c r="G1965" s="19"/>
      <c r="N1965" s="19"/>
      <c r="P1965" s="19"/>
      <c r="AL1965" s="19"/>
    </row>
    <row r="1966" spans="1:38" s="11" customFormat="1" x14ac:dyDescent="0.25">
      <c r="A1966" s="3"/>
      <c r="F1966" s="19"/>
      <c r="G1966" s="19"/>
      <c r="N1966" s="19"/>
      <c r="P1966" s="19"/>
      <c r="AL1966" s="19"/>
    </row>
    <row r="1967" spans="1:38" s="11" customFormat="1" x14ac:dyDescent="0.25">
      <c r="A1967" s="3"/>
      <c r="F1967" s="19"/>
      <c r="G1967" s="19"/>
      <c r="N1967" s="19"/>
      <c r="P1967" s="19"/>
      <c r="AL1967" s="19"/>
    </row>
    <row r="1968" spans="1:38" s="11" customFormat="1" x14ac:dyDescent="0.25">
      <c r="A1968" s="3"/>
      <c r="F1968" s="19"/>
      <c r="G1968" s="19"/>
      <c r="N1968" s="19"/>
      <c r="P1968" s="19"/>
      <c r="AL1968" s="19"/>
    </row>
    <row r="1969" spans="1:38" s="11" customFormat="1" x14ac:dyDescent="0.25">
      <c r="A1969" s="3"/>
      <c r="F1969" s="19"/>
      <c r="G1969" s="19"/>
      <c r="N1969" s="19"/>
      <c r="P1969" s="19"/>
      <c r="AL1969" s="19"/>
    </row>
    <row r="1970" spans="1:38" s="11" customFormat="1" x14ac:dyDescent="0.25">
      <c r="A1970" s="3"/>
      <c r="F1970" s="19"/>
      <c r="G1970" s="19"/>
      <c r="N1970" s="19"/>
      <c r="P1970" s="19"/>
      <c r="AL1970" s="19"/>
    </row>
    <row r="1971" spans="1:38" s="11" customFormat="1" x14ac:dyDescent="0.25">
      <c r="A1971" s="3"/>
      <c r="F1971" s="19"/>
      <c r="G1971" s="19"/>
      <c r="N1971" s="19"/>
      <c r="P1971" s="19"/>
      <c r="AL1971" s="19"/>
    </row>
    <row r="1972" spans="1:38" s="11" customFormat="1" x14ac:dyDescent="0.25">
      <c r="A1972" s="3"/>
      <c r="F1972" s="19"/>
      <c r="G1972" s="19"/>
      <c r="N1972" s="19"/>
      <c r="P1972" s="19"/>
      <c r="AL1972" s="19"/>
    </row>
    <row r="1973" spans="1:38" s="11" customFormat="1" x14ac:dyDescent="0.25">
      <c r="A1973" s="3"/>
      <c r="F1973" s="19"/>
      <c r="G1973" s="19"/>
      <c r="N1973" s="19"/>
      <c r="P1973" s="19"/>
      <c r="AL1973" s="19"/>
    </row>
    <row r="1974" spans="1:38" s="11" customFormat="1" x14ac:dyDescent="0.25">
      <c r="A1974" s="3"/>
      <c r="F1974" s="19"/>
      <c r="G1974" s="19"/>
      <c r="N1974" s="19"/>
      <c r="P1974" s="19"/>
      <c r="AL1974" s="19"/>
    </row>
    <row r="1975" spans="1:38" s="11" customFormat="1" x14ac:dyDescent="0.25">
      <c r="A1975" s="3"/>
      <c r="F1975" s="19"/>
      <c r="G1975" s="19"/>
      <c r="N1975" s="19"/>
      <c r="P1975" s="19"/>
      <c r="AL1975" s="19"/>
    </row>
    <row r="1976" spans="1:38" s="11" customFormat="1" x14ac:dyDescent="0.25">
      <c r="A1976" s="3"/>
      <c r="F1976" s="19"/>
      <c r="G1976" s="19"/>
      <c r="N1976" s="19"/>
      <c r="P1976" s="19"/>
      <c r="AL1976" s="19"/>
    </row>
    <row r="1977" spans="1:38" s="11" customFormat="1" x14ac:dyDescent="0.25">
      <c r="A1977" s="3"/>
      <c r="F1977" s="19"/>
      <c r="G1977" s="19"/>
      <c r="N1977" s="19"/>
      <c r="P1977" s="19"/>
      <c r="AL1977" s="19"/>
    </row>
    <row r="1978" spans="1:38" s="11" customFormat="1" x14ac:dyDescent="0.25">
      <c r="A1978" s="3"/>
      <c r="F1978" s="19"/>
      <c r="G1978" s="19"/>
      <c r="N1978" s="19"/>
      <c r="P1978" s="19"/>
      <c r="AL1978" s="19"/>
    </row>
    <row r="1979" spans="1:38" s="11" customFormat="1" x14ac:dyDescent="0.25">
      <c r="A1979" s="3"/>
      <c r="F1979" s="19"/>
      <c r="G1979" s="19"/>
      <c r="N1979" s="19"/>
      <c r="P1979" s="19"/>
      <c r="AL1979" s="19"/>
    </row>
    <row r="1980" spans="1:38" s="11" customFormat="1" x14ac:dyDescent="0.25">
      <c r="A1980" s="3"/>
      <c r="F1980" s="19"/>
      <c r="G1980" s="19"/>
      <c r="N1980" s="19"/>
      <c r="P1980" s="19"/>
      <c r="AL1980" s="19"/>
    </row>
    <row r="1981" spans="1:38" s="11" customFormat="1" x14ac:dyDescent="0.25">
      <c r="A1981" s="3"/>
      <c r="F1981" s="19"/>
      <c r="G1981" s="19"/>
      <c r="N1981" s="19"/>
      <c r="P1981" s="19"/>
      <c r="AL1981" s="19"/>
    </row>
    <row r="1982" spans="1:38" s="11" customFormat="1" x14ac:dyDescent="0.25">
      <c r="A1982" s="3"/>
      <c r="F1982" s="19"/>
      <c r="G1982" s="19"/>
      <c r="N1982" s="19"/>
      <c r="P1982" s="19"/>
      <c r="AL1982" s="19"/>
    </row>
    <row r="1983" spans="1:38" s="11" customFormat="1" x14ac:dyDescent="0.25">
      <c r="A1983" s="3"/>
      <c r="F1983" s="19"/>
      <c r="G1983" s="19"/>
      <c r="N1983" s="19"/>
      <c r="P1983" s="19"/>
      <c r="AL1983" s="19"/>
    </row>
    <row r="1984" spans="1:38" s="11" customFormat="1" x14ac:dyDescent="0.25">
      <c r="A1984" s="3"/>
      <c r="F1984" s="19"/>
      <c r="G1984" s="19"/>
      <c r="N1984" s="19"/>
      <c r="P1984" s="19"/>
      <c r="AL1984" s="19"/>
    </row>
    <row r="1985" spans="1:38" s="11" customFormat="1" x14ac:dyDescent="0.25">
      <c r="A1985" s="3"/>
      <c r="F1985" s="19"/>
      <c r="G1985" s="19"/>
      <c r="N1985" s="19"/>
      <c r="P1985" s="19"/>
      <c r="AL1985" s="19"/>
    </row>
    <row r="1986" spans="1:38" s="11" customFormat="1" x14ac:dyDescent="0.25">
      <c r="A1986" s="3"/>
      <c r="F1986" s="19"/>
      <c r="G1986" s="19"/>
      <c r="N1986" s="19"/>
      <c r="P1986" s="19"/>
      <c r="AL1986" s="19"/>
    </row>
    <row r="1987" spans="1:38" s="11" customFormat="1" x14ac:dyDescent="0.25">
      <c r="A1987" s="3"/>
      <c r="F1987" s="19"/>
      <c r="G1987" s="19"/>
      <c r="N1987" s="19"/>
      <c r="P1987" s="19"/>
      <c r="AL1987" s="19"/>
    </row>
    <row r="1988" spans="1:38" s="11" customFormat="1" x14ac:dyDescent="0.25">
      <c r="A1988" s="3"/>
      <c r="F1988" s="19"/>
      <c r="G1988" s="19"/>
      <c r="N1988" s="19"/>
      <c r="P1988" s="19"/>
      <c r="AL1988" s="19"/>
    </row>
    <row r="1989" spans="1:38" s="11" customFormat="1" x14ac:dyDescent="0.25">
      <c r="A1989" s="3"/>
      <c r="F1989" s="19"/>
      <c r="G1989" s="19"/>
      <c r="N1989" s="19"/>
      <c r="P1989" s="19"/>
      <c r="AL1989" s="19"/>
    </row>
    <row r="1990" spans="1:38" s="11" customFormat="1" x14ac:dyDescent="0.25">
      <c r="A1990" s="3"/>
      <c r="F1990" s="19"/>
      <c r="G1990" s="19"/>
      <c r="N1990" s="19"/>
      <c r="P1990" s="19"/>
      <c r="AL1990" s="19"/>
    </row>
    <row r="1991" spans="1:38" s="11" customFormat="1" x14ac:dyDescent="0.25">
      <c r="A1991" s="3"/>
      <c r="F1991" s="19"/>
      <c r="G1991" s="19"/>
      <c r="N1991" s="19"/>
      <c r="P1991" s="19"/>
      <c r="AL1991" s="19"/>
    </row>
    <row r="1992" spans="1:38" s="11" customFormat="1" x14ac:dyDescent="0.25">
      <c r="A1992" s="3"/>
      <c r="F1992" s="19"/>
      <c r="G1992" s="19"/>
      <c r="N1992" s="19"/>
      <c r="P1992" s="19"/>
      <c r="AL1992" s="19"/>
    </row>
    <row r="1993" spans="1:38" s="11" customFormat="1" x14ac:dyDescent="0.25">
      <c r="A1993" s="3"/>
      <c r="F1993" s="19"/>
      <c r="G1993" s="19"/>
      <c r="N1993" s="19"/>
      <c r="P1993" s="19"/>
      <c r="AL1993" s="19"/>
    </row>
    <row r="1994" spans="1:38" s="11" customFormat="1" x14ac:dyDescent="0.25">
      <c r="A1994" s="3"/>
      <c r="F1994" s="19"/>
      <c r="G1994" s="19"/>
      <c r="N1994" s="19"/>
      <c r="P1994" s="19"/>
      <c r="AL1994" s="19"/>
    </row>
    <row r="1995" spans="1:38" s="11" customFormat="1" x14ac:dyDescent="0.25">
      <c r="A1995" s="3"/>
      <c r="F1995" s="19"/>
      <c r="G1995" s="19"/>
      <c r="N1995" s="19"/>
      <c r="P1995" s="19"/>
      <c r="AL1995" s="19"/>
    </row>
    <row r="1996" spans="1:38" s="11" customFormat="1" x14ac:dyDescent="0.25">
      <c r="A1996" s="3"/>
      <c r="F1996" s="19"/>
      <c r="G1996" s="19"/>
      <c r="N1996" s="19"/>
      <c r="P1996" s="19"/>
      <c r="AL1996" s="19"/>
    </row>
    <row r="1997" spans="1:38" s="11" customFormat="1" x14ac:dyDescent="0.25">
      <c r="A1997" s="3"/>
      <c r="F1997" s="19"/>
      <c r="G1997" s="19"/>
      <c r="N1997" s="19"/>
      <c r="P1997" s="19"/>
      <c r="AL1997" s="19"/>
    </row>
    <row r="1998" spans="1:38" s="11" customFormat="1" x14ac:dyDescent="0.25">
      <c r="A1998" s="3"/>
      <c r="F1998" s="19"/>
      <c r="G1998" s="19"/>
      <c r="N1998" s="19"/>
      <c r="P1998" s="19"/>
      <c r="AL1998" s="19"/>
    </row>
    <row r="1999" spans="1:38" s="11" customFormat="1" x14ac:dyDescent="0.25">
      <c r="A1999" s="3"/>
      <c r="F1999" s="19"/>
      <c r="G1999" s="19"/>
      <c r="N1999" s="19"/>
      <c r="P1999" s="19"/>
      <c r="AL1999" s="19"/>
    </row>
    <row r="2000" spans="1:38" s="11" customFormat="1" x14ac:dyDescent="0.25">
      <c r="A2000" s="3"/>
      <c r="F2000" s="19"/>
      <c r="G2000" s="19"/>
      <c r="N2000" s="19"/>
      <c r="P2000" s="19"/>
      <c r="AL2000" s="19"/>
    </row>
    <row r="2001" spans="1:38" s="11" customFormat="1" x14ac:dyDescent="0.25">
      <c r="A2001" s="3"/>
      <c r="F2001" s="19"/>
      <c r="G2001" s="19"/>
      <c r="N2001" s="19"/>
      <c r="P2001" s="19"/>
      <c r="AL2001" s="19"/>
    </row>
    <row r="2002" spans="1:38" s="11" customFormat="1" x14ac:dyDescent="0.25">
      <c r="A2002" s="3"/>
      <c r="F2002" s="19"/>
      <c r="G2002" s="19"/>
      <c r="N2002" s="19"/>
      <c r="P2002" s="19"/>
      <c r="AL2002" s="19"/>
    </row>
    <row r="2003" spans="1:38" s="11" customFormat="1" x14ac:dyDescent="0.25">
      <c r="A2003" s="3"/>
      <c r="F2003" s="19"/>
      <c r="G2003" s="19"/>
      <c r="N2003" s="19"/>
      <c r="P2003" s="19"/>
      <c r="AL2003" s="19"/>
    </row>
    <row r="2004" spans="1:38" s="11" customFormat="1" x14ac:dyDescent="0.25">
      <c r="A2004" s="3"/>
      <c r="F2004" s="19"/>
      <c r="G2004" s="19"/>
      <c r="N2004" s="19"/>
      <c r="P2004" s="19"/>
      <c r="AL2004" s="19"/>
    </row>
    <row r="2005" spans="1:38" s="11" customFormat="1" x14ac:dyDescent="0.25">
      <c r="A2005" s="3"/>
      <c r="F2005" s="19"/>
      <c r="G2005" s="19"/>
      <c r="N2005" s="19"/>
      <c r="P2005" s="19"/>
      <c r="AL2005" s="19"/>
    </row>
    <row r="2006" spans="1:38" s="11" customFormat="1" x14ac:dyDescent="0.25">
      <c r="A2006" s="3"/>
      <c r="F2006" s="19"/>
      <c r="G2006" s="19"/>
      <c r="N2006" s="19"/>
      <c r="P2006" s="19"/>
      <c r="AL2006" s="19"/>
    </row>
    <row r="2007" spans="1:38" s="11" customFormat="1" x14ac:dyDescent="0.25">
      <c r="A2007" s="3"/>
      <c r="F2007" s="19"/>
      <c r="G2007" s="19"/>
      <c r="N2007" s="19"/>
      <c r="P2007" s="19"/>
      <c r="AL2007" s="19"/>
    </row>
    <row r="2008" spans="1:38" s="11" customFormat="1" x14ac:dyDescent="0.25">
      <c r="A2008" s="3"/>
      <c r="F2008" s="19"/>
      <c r="G2008" s="19"/>
      <c r="N2008" s="19"/>
      <c r="P2008" s="19"/>
      <c r="AL2008" s="19"/>
    </row>
    <row r="2009" spans="1:38" s="11" customFormat="1" x14ac:dyDescent="0.25">
      <c r="A2009" s="3"/>
      <c r="F2009" s="19"/>
      <c r="G2009" s="19"/>
      <c r="N2009" s="19"/>
      <c r="P2009" s="19"/>
      <c r="AL2009" s="19"/>
    </row>
    <row r="2010" spans="1:38" s="11" customFormat="1" x14ac:dyDescent="0.25">
      <c r="A2010" s="3"/>
      <c r="F2010" s="19"/>
      <c r="G2010" s="19"/>
      <c r="N2010" s="19"/>
      <c r="P2010" s="19"/>
      <c r="AL2010" s="19"/>
    </row>
    <row r="2011" spans="1:38" s="11" customFormat="1" x14ac:dyDescent="0.25">
      <c r="A2011" s="3"/>
      <c r="F2011" s="19"/>
      <c r="G2011" s="19"/>
      <c r="N2011" s="19"/>
      <c r="P2011" s="19"/>
      <c r="AL2011" s="19"/>
    </row>
    <row r="2012" spans="1:38" s="11" customFormat="1" x14ac:dyDescent="0.25">
      <c r="A2012" s="3"/>
      <c r="F2012" s="19"/>
      <c r="G2012" s="19"/>
      <c r="N2012" s="19"/>
      <c r="P2012" s="19"/>
      <c r="AL2012" s="19"/>
    </row>
    <row r="2013" spans="1:38" s="11" customFormat="1" x14ac:dyDescent="0.25">
      <c r="A2013" s="3"/>
      <c r="F2013" s="19"/>
      <c r="G2013" s="19"/>
      <c r="N2013" s="19"/>
      <c r="P2013" s="19"/>
      <c r="AL2013" s="19"/>
    </row>
    <row r="2014" spans="1:38" s="11" customFormat="1" x14ac:dyDescent="0.25">
      <c r="A2014" s="3"/>
      <c r="F2014" s="19"/>
      <c r="G2014" s="19"/>
      <c r="N2014" s="19"/>
      <c r="P2014" s="19"/>
      <c r="AL2014" s="19"/>
    </row>
    <row r="2015" spans="1:38" s="11" customFormat="1" x14ac:dyDescent="0.25">
      <c r="A2015" s="3"/>
      <c r="F2015" s="19"/>
      <c r="G2015" s="19"/>
      <c r="N2015" s="19"/>
      <c r="P2015" s="19"/>
      <c r="AL2015" s="19"/>
    </row>
    <row r="2016" spans="1:38" s="11" customFormat="1" x14ac:dyDescent="0.25">
      <c r="A2016" s="3"/>
      <c r="F2016" s="19"/>
      <c r="G2016" s="19"/>
      <c r="N2016" s="19"/>
      <c r="P2016" s="19"/>
      <c r="AL2016" s="19"/>
    </row>
    <row r="2017" spans="1:38" s="11" customFormat="1" x14ac:dyDescent="0.25">
      <c r="A2017" s="3"/>
      <c r="F2017" s="19"/>
      <c r="G2017" s="19"/>
      <c r="N2017" s="19"/>
      <c r="P2017" s="19"/>
      <c r="AL2017" s="19"/>
    </row>
    <row r="2018" spans="1:38" s="11" customFormat="1" x14ac:dyDescent="0.25">
      <c r="A2018" s="3"/>
      <c r="F2018" s="19"/>
      <c r="G2018" s="19"/>
      <c r="N2018" s="19"/>
      <c r="P2018" s="19"/>
      <c r="AL2018" s="19"/>
    </row>
    <row r="2019" spans="1:38" s="11" customFormat="1" x14ac:dyDescent="0.25">
      <c r="A2019" s="3"/>
      <c r="F2019" s="19"/>
      <c r="G2019" s="19"/>
      <c r="N2019" s="19"/>
      <c r="P2019" s="19"/>
      <c r="AL2019" s="19"/>
    </row>
    <row r="2020" spans="1:38" s="11" customFormat="1" x14ac:dyDescent="0.25">
      <c r="A2020" s="3"/>
      <c r="F2020" s="19"/>
      <c r="G2020" s="19"/>
      <c r="N2020" s="19"/>
      <c r="P2020" s="19"/>
      <c r="AL2020" s="19"/>
    </row>
    <row r="2021" spans="1:38" s="11" customFormat="1" x14ac:dyDescent="0.25">
      <c r="A2021" s="3"/>
      <c r="F2021" s="19"/>
      <c r="G2021" s="19"/>
      <c r="N2021" s="19"/>
      <c r="P2021" s="19"/>
      <c r="AL2021" s="19"/>
    </row>
    <row r="2022" spans="1:38" s="11" customFormat="1" x14ac:dyDescent="0.25">
      <c r="A2022" s="3"/>
      <c r="F2022" s="19"/>
      <c r="G2022" s="19"/>
      <c r="N2022" s="19"/>
      <c r="P2022" s="19"/>
      <c r="AL2022" s="19"/>
    </row>
    <row r="2023" spans="1:38" s="11" customFormat="1" x14ac:dyDescent="0.25">
      <c r="A2023" s="3"/>
      <c r="F2023" s="19"/>
      <c r="G2023" s="19"/>
      <c r="N2023" s="19"/>
      <c r="P2023" s="19"/>
      <c r="AL2023" s="19"/>
    </row>
    <row r="2024" spans="1:38" s="11" customFormat="1" x14ac:dyDescent="0.25">
      <c r="A2024" s="3"/>
      <c r="F2024" s="19"/>
      <c r="G2024" s="19"/>
      <c r="N2024" s="19"/>
      <c r="P2024" s="19"/>
      <c r="AL2024" s="19"/>
    </row>
    <row r="2025" spans="1:38" s="11" customFormat="1" x14ac:dyDescent="0.25">
      <c r="A2025" s="3"/>
      <c r="F2025" s="19"/>
      <c r="G2025" s="19"/>
      <c r="N2025" s="19"/>
      <c r="P2025" s="19"/>
      <c r="AL2025" s="19"/>
    </row>
    <row r="2026" spans="1:38" s="11" customFormat="1" x14ac:dyDescent="0.25">
      <c r="A2026" s="3"/>
      <c r="F2026" s="19"/>
      <c r="G2026" s="19"/>
      <c r="N2026" s="19"/>
      <c r="P2026" s="19"/>
      <c r="AL2026" s="19"/>
    </row>
    <row r="2027" spans="1:38" s="11" customFormat="1" x14ac:dyDescent="0.25">
      <c r="A2027" s="3"/>
      <c r="F2027" s="19"/>
      <c r="G2027" s="19"/>
      <c r="N2027" s="19"/>
      <c r="P2027" s="19"/>
      <c r="AL2027" s="19"/>
    </row>
    <row r="2028" spans="1:38" s="11" customFormat="1" x14ac:dyDescent="0.25">
      <c r="A2028" s="3"/>
      <c r="F2028" s="19"/>
      <c r="G2028" s="19"/>
      <c r="N2028" s="19"/>
      <c r="P2028" s="19"/>
      <c r="AL2028" s="19"/>
    </row>
    <row r="2029" spans="1:38" s="11" customFormat="1" x14ac:dyDescent="0.25">
      <c r="A2029" s="3"/>
      <c r="F2029" s="19"/>
      <c r="G2029" s="19"/>
      <c r="N2029" s="19"/>
      <c r="P2029" s="19"/>
      <c r="AL2029" s="19"/>
    </row>
    <row r="2030" spans="1:38" s="11" customFormat="1" x14ac:dyDescent="0.25">
      <c r="A2030" s="3"/>
      <c r="F2030" s="19"/>
      <c r="G2030" s="19"/>
      <c r="N2030" s="19"/>
      <c r="P2030" s="19"/>
      <c r="AL2030" s="19"/>
    </row>
    <row r="2031" spans="1:38" s="11" customFormat="1" x14ac:dyDescent="0.25">
      <c r="A2031" s="3"/>
      <c r="F2031" s="19"/>
      <c r="G2031" s="19"/>
      <c r="N2031" s="19"/>
      <c r="P2031" s="19"/>
      <c r="AL2031" s="19"/>
    </row>
    <row r="2032" spans="1:38" s="11" customFormat="1" x14ac:dyDescent="0.25">
      <c r="A2032" s="3"/>
      <c r="F2032" s="19"/>
      <c r="G2032" s="19"/>
      <c r="N2032" s="19"/>
      <c r="P2032" s="19"/>
      <c r="AL2032" s="19"/>
    </row>
    <row r="2033" spans="1:38" s="11" customFormat="1" x14ac:dyDescent="0.25">
      <c r="A2033" s="3"/>
      <c r="F2033" s="19"/>
      <c r="G2033" s="19"/>
      <c r="N2033" s="19"/>
      <c r="P2033" s="19"/>
      <c r="AL2033" s="19"/>
    </row>
    <row r="2034" spans="1:38" s="11" customFormat="1" x14ac:dyDescent="0.25">
      <c r="A2034" s="3"/>
      <c r="F2034" s="19"/>
      <c r="G2034" s="19"/>
      <c r="N2034" s="19"/>
      <c r="P2034" s="19"/>
      <c r="AL2034" s="19"/>
    </row>
    <row r="2035" spans="1:38" s="11" customFormat="1" x14ac:dyDescent="0.25">
      <c r="A2035" s="3"/>
      <c r="F2035" s="19"/>
      <c r="G2035" s="19"/>
      <c r="N2035" s="19"/>
      <c r="P2035" s="19"/>
      <c r="AL2035" s="19"/>
    </row>
    <row r="2036" spans="1:38" s="11" customFormat="1" x14ac:dyDescent="0.25">
      <c r="A2036" s="3"/>
      <c r="F2036" s="19"/>
      <c r="G2036" s="19"/>
      <c r="N2036" s="19"/>
      <c r="P2036" s="19"/>
      <c r="AL2036" s="19"/>
    </row>
    <row r="2037" spans="1:38" s="11" customFormat="1" x14ac:dyDescent="0.25">
      <c r="A2037" s="3"/>
      <c r="F2037" s="19"/>
      <c r="G2037" s="19"/>
      <c r="N2037" s="19"/>
      <c r="P2037" s="19"/>
      <c r="AL2037" s="19"/>
    </row>
    <row r="2038" spans="1:38" s="11" customFormat="1" x14ac:dyDescent="0.25">
      <c r="A2038" s="3"/>
      <c r="F2038" s="19"/>
      <c r="G2038" s="19"/>
      <c r="N2038" s="19"/>
      <c r="P2038" s="19"/>
      <c r="AL2038" s="19"/>
    </row>
    <row r="2039" spans="1:38" s="11" customFormat="1" x14ac:dyDescent="0.25">
      <c r="A2039" s="3"/>
      <c r="F2039" s="19"/>
      <c r="G2039" s="19"/>
      <c r="N2039" s="19"/>
      <c r="P2039" s="19"/>
      <c r="AL2039" s="19"/>
    </row>
    <row r="2040" spans="1:38" s="11" customFormat="1" x14ac:dyDescent="0.25">
      <c r="A2040" s="3"/>
      <c r="F2040" s="19"/>
      <c r="G2040" s="19"/>
      <c r="N2040" s="19"/>
      <c r="P2040" s="19"/>
      <c r="AL2040" s="19"/>
    </row>
    <row r="2041" spans="1:38" s="11" customFormat="1" x14ac:dyDescent="0.25">
      <c r="A2041" s="3"/>
      <c r="F2041" s="19"/>
      <c r="G2041" s="19"/>
      <c r="N2041" s="19"/>
      <c r="P2041" s="19"/>
      <c r="AL2041" s="19"/>
    </row>
    <row r="2042" spans="1:38" s="11" customFormat="1" x14ac:dyDescent="0.25">
      <c r="A2042" s="3"/>
      <c r="F2042" s="19"/>
      <c r="G2042" s="19"/>
      <c r="N2042" s="19"/>
      <c r="P2042" s="19"/>
      <c r="AL2042" s="19"/>
    </row>
    <row r="2043" spans="1:38" s="11" customFormat="1" x14ac:dyDescent="0.25">
      <c r="A2043" s="3"/>
      <c r="F2043" s="19"/>
      <c r="G2043" s="19"/>
      <c r="N2043" s="19"/>
      <c r="P2043" s="19"/>
      <c r="AL2043" s="19"/>
    </row>
    <row r="2044" spans="1:38" s="11" customFormat="1" x14ac:dyDescent="0.25">
      <c r="A2044" s="3"/>
      <c r="F2044" s="19"/>
      <c r="G2044" s="19"/>
      <c r="N2044" s="19"/>
      <c r="P2044" s="19"/>
      <c r="AL2044" s="19"/>
    </row>
    <row r="2045" spans="1:38" s="11" customFormat="1" x14ac:dyDescent="0.25">
      <c r="A2045" s="3"/>
      <c r="F2045" s="19"/>
      <c r="G2045" s="19"/>
      <c r="N2045" s="19"/>
      <c r="P2045" s="19"/>
      <c r="AL2045" s="19"/>
    </row>
    <row r="2046" spans="1:38" s="11" customFormat="1" x14ac:dyDescent="0.25">
      <c r="A2046" s="3"/>
      <c r="F2046" s="19"/>
      <c r="G2046" s="19"/>
      <c r="N2046" s="19"/>
      <c r="P2046" s="19"/>
      <c r="AL2046" s="19"/>
    </row>
    <row r="2047" spans="1:38" s="11" customFormat="1" x14ac:dyDescent="0.25">
      <c r="A2047" s="3"/>
      <c r="F2047" s="19"/>
      <c r="G2047" s="19"/>
      <c r="N2047" s="19"/>
      <c r="P2047" s="19"/>
      <c r="AL2047" s="19"/>
    </row>
    <row r="2048" spans="1:38" s="11" customFormat="1" x14ac:dyDescent="0.25">
      <c r="A2048" s="3"/>
      <c r="F2048" s="19"/>
      <c r="G2048" s="19"/>
      <c r="N2048" s="19"/>
      <c r="P2048" s="19"/>
      <c r="AL2048" s="19"/>
    </row>
    <row r="2049" spans="1:38" s="11" customFormat="1" x14ac:dyDescent="0.25">
      <c r="A2049" s="3"/>
      <c r="F2049" s="19"/>
      <c r="G2049" s="19"/>
      <c r="N2049" s="19"/>
      <c r="P2049" s="19"/>
      <c r="AL2049" s="19"/>
    </row>
    <row r="2050" spans="1:38" s="11" customFormat="1" x14ac:dyDescent="0.25">
      <c r="A2050" s="3"/>
      <c r="F2050" s="19"/>
      <c r="G2050" s="19"/>
      <c r="N2050" s="19"/>
      <c r="P2050" s="19"/>
      <c r="AL2050" s="19"/>
    </row>
    <row r="2051" spans="1:38" s="11" customFormat="1" x14ac:dyDescent="0.25">
      <c r="A2051" s="3"/>
      <c r="F2051" s="19"/>
      <c r="G2051" s="19"/>
      <c r="N2051" s="19"/>
      <c r="P2051" s="19"/>
      <c r="AL2051" s="19"/>
    </row>
    <row r="2052" spans="1:38" s="11" customFormat="1" x14ac:dyDescent="0.25">
      <c r="A2052" s="3"/>
      <c r="F2052" s="19"/>
      <c r="G2052" s="19"/>
      <c r="N2052" s="19"/>
      <c r="P2052" s="19"/>
      <c r="AL2052" s="19"/>
    </row>
    <row r="2053" spans="1:38" s="11" customFormat="1" x14ac:dyDescent="0.25">
      <c r="A2053" s="3"/>
      <c r="F2053" s="19"/>
      <c r="G2053" s="19"/>
      <c r="N2053" s="19"/>
      <c r="P2053" s="19"/>
      <c r="AL2053" s="19"/>
    </row>
    <row r="2054" spans="1:38" s="11" customFormat="1" x14ac:dyDescent="0.25">
      <c r="A2054" s="3"/>
      <c r="F2054" s="19"/>
      <c r="G2054" s="19"/>
      <c r="N2054" s="19"/>
      <c r="P2054" s="19"/>
      <c r="AL2054" s="19"/>
    </row>
    <row r="2055" spans="1:38" s="11" customFormat="1" x14ac:dyDescent="0.25">
      <c r="A2055" s="3"/>
      <c r="F2055" s="19"/>
      <c r="G2055" s="19"/>
      <c r="N2055" s="19"/>
      <c r="P2055" s="19"/>
      <c r="AL2055" s="19"/>
    </row>
    <row r="2056" spans="1:38" s="11" customFormat="1" x14ac:dyDescent="0.25">
      <c r="A2056" s="3"/>
      <c r="F2056" s="19"/>
      <c r="G2056" s="19"/>
      <c r="N2056" s="19"/>
      <c r="P2056" s="19"/>
      <c r="AL2056" s="19"/>
    </row>
    <row r="2057" spans="1:38" s="11" customFormat="1" x14ac:dyDescent="0.25">
      <c r="A2057" s="3"/>
      <c r="F2057" s="19"/>
      <c r="G2057" s="19"/>
      <c r="N2057" s="19"/>
      <c r="P2057" s="19"/>
      <c r="AL2057" s="19"/>
    </row>
    <row r="2058" spans="1:38" s="11" customFormat="1" x14ac:dyDescent="0.25">
      <c r="A2058" s="3"/>
      <c r="F2058" s="19"/>
      <c r="G2058" s="19"/>
      <c r="N2058" s="19"/>
      <c r="P2058" s="19"/>
      <c r="AL2058" s="19"/>
    </row>
    <row r="2059" spans="1:38" s="11" customFormat="1" x14ac:dyDescent="0.25">
      <c r="A2059" s="3"/>
      <c r="F2059" s="19"/>
      <c r="G2059" s="19"/>
      <c r="N2059" s="19"/>
      <c r="P2059" s="19"/>
      <c r="AL2059" s="19"/>
    </row>
    <row r="2060" spans="1:38" s="11" customFormat="1" x14ac:dyDescent="0.25">
      <c r="A2060" s="3"/>
      <c r="F2060" s="19"/>
      <c r="G2060" s="19"/>
      <c r="N2060" s="19"/>
      <c r="P2060" s="19"/>
      <c r="AL2060" s="19"/>
    </row>
    <row r="2061" spans="1:38" s="11" customFormat="1" x14ac:dyDescent="0.25">
      <c r="A2061" s="3"/>
      <c r="F2061" s="19"/>
      <c r="G2061" s="19"/>
      <c r="N2061" s="19"/>
      <c r="P2061" s="19"/>
      <c r="AL2061" s="19"/>
    </row>
    <row r="2062" spans="1:38" s="11" customFormat="1" x14ac:dyDescent="0.25">
      <c r="A2062" s="3"/>
      <c r="F2062" s="19"/>
      <c r="G2062" s="19"/>
      <c r="N2062" s="19"/>
      <c r="P2062" s="19"/>
      <c r="AL2062" s="19"/>
    </row>
    <row r="2063" spans="1:38" s="11" customFormat="1" x14ac:dyDescent="0.25">
      <c r="A2063" s="3"/>
      <c r="F2063" s="19"/>
      <c r="G2063" s="19"/>
      <c r="N2063" s="19"/>
      <c r="P2063" s="19"/>
      <c r="AL2063" s="19"/>
    </row>
    <row r="2064" spans="1:38" s="11" customFormat="1" x14ac:dyDescent="0.25">
      <c r="A2064" s="3"/>
      <c r="F2064" s="19"/>
      <c r="G2064" s="19"/>
      <c r="N2064" s="19"/>
      <c r="P2064" s="19"/>
      <c r="AL2064" s="19"/>
    </row>
    <row r="2065" spans="1:38" s="11" customFormat="1" x14ac:dyDescent="0.25">
      <c r="A2065" s="3"/>
      <c r="F2065" s="19"/>
      <c r="G2065" s="19"/>
      <c r="N2065" s="19"/>
      <c r="P2065" s="19"/>
      <c r="AL2065" s="19"/>
    </row>
    <row r="2066" spans="1:38" s="11" customFormat="1" x14ac:dyDescent="0.25">
      <c r="A2066" s="3"/>
      <c r="F2066" s="19"/>
      <c r="G2066" s="19"/>
      <c r="N2066" s="19"/>
      <c r="P2066" s="19"/>
      <c r="AL2066" s="19"/>
    </row>
    <row r="2067" spans="1:38" s="11" customFormat="1" x14ac:dyDescent="0.25">
      <c r="A2067" s="3"/>
      <c r="F2067" s="19"/>
      <c r="G2067" s="19"/>
      <c r="N2067" s="19"/>
      <c r="P2067" s="19"/>
      <c r="AL2067" s="19"/>
    </row>
    <row r="2068" spans="1:38" s="11" customFormat="1" x14ac:dyDescent="0.25">
      <c r="A2068" s="3"/>
      <c r="F2068" s="19"/>
      <c r="G2068" s="19"/>
      <c r="N2068" s="19"/>
      <c r="P2068" s="19"/>
      <c r="AL2068" s="19"/>
    </row>
    <row r="2069" spans="1:38" s="11" customFormat="1" x14ac:dyDescent="0.25">
      <c r="A2069" s="3"/>
      <c r="F2069" s="19"/>
      <c r="G2069" s="19"/>
      <c r="N2069" s="19"/>
      <c r="P2069" s="19"/>
      <c r="AL2069" s="19"/>
    </row>
    <row r="2070" spans="1:38" s="11" customFormat="1" x14ac:dyDescent="0.25">
      <c r="A2070" s="3"/>
      <c r="F2070" s="19"/>
      <c r="G2070" s="19"/>
      <c r="N2070" s="19"/>
      <c r="P2070" s="19"/>
      <c r="AL2070" s="19"/>
    </row>
    <row r="2071" spans="1:38" s="11" customFormat="1" x14ac:dyDescent="0.25">
      <c r="A2071" s="3"/>
      <c r="F2071" s="19"/>
      <c r="G2071" s="19"/>
      <c r="N2071" s="19"/>
      <c r="P2071" s="19"/>
      <c r="AL2071" s="19"/>
    </row>
    <row r="2072" spans="1:38" s="11" customFormat="1" x14ac:dyDescent="0.25">
      <c r="A2072" s="3"/>
      <c r="F2072" s="19"/>
      <c r="G2072" s="19"/>
      <c r="N2072" s="19"/>
      <c r="P2072" s="19"/>
      <c r="AL2072" s="19"/>
    </row>
    <row r="2073" spans="1:38" s="11" customFormat="1" x14ac:dyDescent="0.25">
      <c r="A2073" s="3"/>
      <c r="F2073" s="19"/>
      <c r="G2073" s="19"/>
      <c r="N2073" s="19"/>
      <c r="P2073" s="19"/>
      <c r="AL2073" s="19"/>
    </row>
    <row r="2074" spans="1:38" s="11" customFormat="1" x14ac:dyDescent="0.25">
      <c r="A2074" s="3"/>
      <c r="F2074" s="19"/>
      <c r="G2074" s="19"/>
      <c r="N2074" s="19"/>
      <c r="P2074" s="19"/>
      <c r="AL2074" s="19"/>
    </row>
    <row r="2075" spans="1:38" s="11" customFormat="1" x14ac:dyDescent="0.25">
      <c r="A2075" s="3"/>
      <c r="F2075" s="19"/>
      <c r="G2075" s="19"/>
      <c r="N2075" s="19"/>
      <c r="P2075" s="19"/>
      <c r="AL2075" s="19"/>
    </row>
    <row r="2076" spans="1:38" s="11" customFormat="1" x14ac:dyDescent="0.25">
      <c r="A2076" s="3"/>
      <c r="F2076" s="19"/>
      <c r="G2076" s="19"/>
      <c r="N2076" s="19"/>
      <c r="P2076" s="19"/>
      <c r="AL2076" s="19"/>
    </row>
    <row r="2077" spans="1:38" s="11" customFormat="1" x14ac:dyDescent="0.25">
      <c r="A2077" s="3"/>
      <c r="F2077" s="19"/>
      <c r="G2077" s="19"/>
      <c r="N2077" s="19"/>
      <c r="P2077" s="19"/>
      <c r="AL2077" s="19"/>
    </row>
    <row r="2078" spans="1:38" s="11" customFormat="1" x14ac:dyDescent="0.25">
      <c r="A2078" s="3"/>
      <c r="F2078" s="19"/>
      <c r="G2078" s="19"/>
      <c r="N2078" s="19"/>
      <c r="P2078" s="19"/>
      <c r="AL2078" s="19"/>
    </row>
    <row r="2079" spans="1:38" s="11" customFormat="1" x14ac:dyDescent="0.25">
      <c r="A2079" s="3"/>
      <c r="F2079" s="19"/>
      <c r="G2079" s="19"/>
      <c r="N2079" s="19"/>
      <c r="P2079" s="19"/>
      <c r="AL2079" s="19"/>
    </row>
    <row r="2080" spans="1:38" s="11" customFormat="1" x14ac:dyDescent="0.25">
      <c r="A2080" s="3"/>
      <c r="F2080" s="19"/>
      <c r="G2080" s="19"/>
      <c r="N2080" s="19"/>
      <c r="P2080" s="19"/>
      <c r="AL2080" s="19"/>
    </row>
    <row r="2081" spans="1:38" s="11" customFormat="1" x14ac:dyDescent="0.25">
      <c r="A2081" s="3"/>
      <c r="F2081" s="19"/>
      <c r="G2081" s="19"/>
      <c r="N2081" s="19"/>
      <c r="P2081" s="19"/>
      <c r="AL2081" s="19"/>
    </row>
    <row r="2082" spans="1:38" s="11" customFormat="1" x14ac:dyDescent="0.25">
      <c r="A2082" s="3"/>
      <c r="F2082" s="19"/>
      <c r="G2082" s="19"/>
      <c r="N2082" s="19"/>
      <c r="P2082" s="19"/>
      <c r="AL2082" s="19"/>
    </row>
    <row r="2083" spans="1:38" s="11" customFormat="1" x14ac:dyDescent="0.25">
      <c r="A2083" s="3"/>
      <c r="F2083" s="19"/>
      <c r="G2083" s="19"/>
      <c r="N2083" s="19"/>
      <c r="P2083" s="19"/>
      <c r="AL2083" s="19"/>
    </row>
    <row r="2084" spans="1:38" s="11" customFormat="1" x14ac:dyDescent="0.25">
      <c r="A2084" s="3"/>
      <c r="F2084" s="19"/>
      <c r="G2084" s="19"/>
      <c r="N2084" s="19"/>
      <c r="P2084" s="19"/>
      <c r="AL2084" s="19"/>
    </row>
    <row r="2085" spans="1:38" s="11" customFormat="1" x14ac:dyDescent="0.25">
      <c r="A2085" s="3"/>
      <c r="F2085" s="19"/>
      <c r="G2085" s="19"/>
      <c r="N2085" s="19"/>
      <c r="P2085" s="19"/>
      <c r="AL2085" s="19"/>
    </row>
    <row r="2086" spans="1:38" s="11" customFormat="1" x14ac:dyDescent="0.25">
      <c r="A2086" s="3"/>
      <c r="F2086" s="19"/>
      <c r="G2086" s="19"/>
      <c r="N2086" s="19"/>
      <c r="P2086" s="19"/>
      <c r="AL2086" s="19"/>
    </row>
    <row r="2087" spans="1:38" s="11" customFormat="1" x14ac:dyDescent="0.25">
      <c r="A2087" s="3"/>
      <c r="F2087" s="19"/>
      <c r="G2087" s="19"/>
      <c r="N2087" s="19"/>
      <c r="P2087" s="19"/>
      <c r="AL2087" s="19"/>
    </row>
    <row r="2088" spans="1:38" s="11" customFormat="1" x14ac:dyDescent="0.25">
      <c r="A2088" s="3"/>
      <c r="F2088" s="19"/>
      <c r="G2088" s="19"/>
      <c r="N2088" s="19"/>
      <c r="P2088" s="19"/>
      <c r="AL2088" s="19"/>
    </row>
    <row r="2089" spans="1:38" s="11" customFormat="1" x14ac:dyDescent="0.25">
      <c r="A2089" s="3"/>
      <c r="F2089" s="19"/>
      <c r="G2089" s="19"/>
      <c r="N2089" s="19"/>
      <c r="P2089" s="19"/>
      <c r="AL2089" s="19"/>
    </row>
    <row r="2090" spans="1:38" s="11" customFormat="1" x14ac:dyDescent="0.25">
      <c r="A2090" s="3"/>
      <c r="F2090" s="19"/>
      <c r="G2090" s="19"/>
      <c r="N2090" s="19"/>
      <c r="P2090" s="19"/>
      <c r="AL2090" s="19"/>
    </row>
    <row r="2091" spans="1:38" s="11" customFormat="1" x14ac:dyDescent="0.25">
      <c r="A2091" s="3"/>
      <c r="F2091" s="19"/>
      <c r="G2091" s="19"/>
      <c r="N2091" s="19"/>
      <c r="P2091" s="19"/>
      <c r="AL2091" s="19"/>
    </row>
    <row r="2092" spans="1:38" s="11" customFormat="1" x14ac:dyDescent="0.25">
      <c r="A2092" s="3"/>
      <c r="F2092" s="19"/>
      <c r="G2092" s="19"/>
      <c r="N2092" s="19"/>
      <c r="P2092" s="19"/>
      <c r="AL2092" s="19"/>
    </row>
    <row r="2093" spans="1:38" s="11" customFormat="1" x14ac:dyDescent="0.25">
      <c r="A2093" s="3"/>
      <c r="F2093" s="19"/>
      <c r="G2093" s="19"/>
      <c r="N2093" s="19"/>
      <c r="P2093" s="19"/>
      <c r="AL2093" s="19"/>
    </row>
    <row r="2094" spans="1:38" s="11" customFormat="1" x14ac:dyDescent="0.25">
      <c r="A2094" s="3"/>
      <c r="F2094" s="19"/>
      <c r="G2094" s="19"/>
      <c r="N2094" s="19"/>
      <c r="P2094" s="19"/>
      <c r="AL2094" s="19"/>
    </row>
    <row r="2095" spans="1:38" s="11" customFormat="1" x14ac:dyDescent="0.25">
      <c r="A2095" s="3"/>
      <c r="F2095" s="19"/>
      <c r="G2095" s="19"/>
      <c r="N2095" s="19"/>
      <c r="P2095" s="19"/>
      <c r="AL2095" s="19"/>
    </row>
    <row r="2096" spans="1:38" s="11" customFormat="1" x14ac:dyDescent="0.25">
      <c r="A2096" s="3"/>
      <c r="F2096" s="19"/>
      <c r="G2096" s="19"/>
      <c r="N2096" s="19"/>
      <c r="P2096" s="19"/>
      <c r="AL2096" s="19"/>
    </row>
    <row r="2097" spans="1:38" s="11" customFormat="1" x14ac:dyDescent="0.25">
      <c r="A2097" s="3"/>
      <c r="F2097" s="19"/>
      <c r="G2097" s="19"/>
      <c r="N2097" s="19"/>
      <c r="P2097" s="19"/>
      <c r="AL2097" s="19"/>
    </row>
    <row r="2098" spans="1:38" s="11" customFormat="1" x14ac:dyDescent="0.25">
      <c r="A2098" s="3"/>
      <c r="F2098" s="19"/>
      <c r="G2098" s="19"/>
      <c r="N2098" s="19"/>
      <c r="P2098" s="19"/>
      <c r="AL2098" s="19"/>
    </row>
    <row r="2099" spans="1:38" s="11" customFormat="1" x14ac:dyDescent="0.25">
      <c r="A2099" s="3"/>
      <c r="F2099" s="19"/>
      <c r="G2099" s="19"/>
      <c r="N2099" s="19"/>
      <c r="P2099" s="19"/>
      <c r="AL2099" s="19"/>
    </row>
    <row r="2100" spans="1:38" s="11" customFormat="1" x14ac:dyDescent="0.25">
      <c r="A2100" s="3"/>
      <c r="F2100" s="19"/>
      <c r="G2100" s="19"/>
      <c r="N2100" s="19"/>
      <c r="P2100" s="19"/>
      <c r="AL2100" s="19"/>
    </row>
    <row r="2101" spans="1:38" s="11" customFormat="1" x14ac:dyDescent="0.25">
      <c r="A2101" s="3"/>
      <c r="F2101" s="19"/>
      <c r="G2101" s="19"/>
      <c r="N2101" s="19"/>
      <c r="P2101" s="19"/>
      <c r="AL2101" s="19"/>
    </row>
    <row r="2102" spans="1:38" s="11" customFormat="1" x14ac:dyDescent="0.25">
      <c r="A2102" s="3"/>
      <c r="F2102" s="19"/>
      <c r="G2102" s="19"/>
      <c r="N2102" s="19"/>
      <c r="P2102" s="19"/>
      <c r="AL2102" s="19"/>
    </row>
    <row r="2103" spans="1:38" s="11" customFormat="1" x14ac:dyDescent="0.25">
      <c r="A2103" s="3"/>
      <c r="F2103" s="19"/>
      <c r="G2103" s="19"/>
      <c r="N2103" s="19"/>
      <c r="P2103" s="19"/>
      <c r="AL2103" s="19"/>
    </row>
    <row r="2104" spans="1:38" s="11" customFormat="1" x14ac:dyDescent="0.25">
      <c r="A2104" s="3"/>
      <c r="F2104" s="19"/>
      <c r="G2104" s="19"/>
      <c r="N2104" s="19"/>
      <c r="P2104" s="19"/>
      <c r="AL2104" s="19"/>
    </row>
    <row r="2105" spans="1:38" s="11" customFormat="1" x14ac:dyDescent="0.25">
      <c r="A2105" s="3"/>
      <c r="F2105" s="19"/>
      <c r="G2105" s="19"/>
      <c r="N2105" s="19"/>
      <c r="P2105" s="19"/>
      <c r="AL2105" s="19"/>
    </row>
    <row r="2106" spans="1:38" s="11" customFormat="1" x14ac:dyDescent="0.25">
      <c r="A2106" s="3"/>
      <c r="F2106" s="19"/>
      <c r="G2106" s="19"/>
      <c r="N2106" s="19"/>
      <c r="P2106" s="19"/>
      <c r="AL2106" s="19"/>
    </row>
    <row r="2107" spans="1:38" s="11" customFormat="1" x14ac:dyDescent="0.25">
      <c r="A2107" s="3"/>
      <c r="F2107" s="19"/>
      <c r="G2107" s="19"/>
      <c r="N2107" s="19"/>
      <c r="P2107" s="19"/>
      <c r="AL2107" s="19"/>
    </row>
    <row r="2108" spans="1:38" s="11" customFormat="1" x14ac:dyDescent="0.25">
      <c r="A2108" s="3"/>
      <c r="F2108" s="19"/>
      <c r="G2108" s="19"/>
      <c r="N2108" s="19"/>
      <c r="P2108" s="19"/>
      <c r="AL2108" s="19"/>
    </row>
    <row r="2109" spans="1:38" s="11" customFormat="1" x14ac:dyDescent="0.25">
      <c r="A2109" s="3"/>
      <c r="F2109" s="19"/>
      <c r="G2109" s="19"/>
      <c r="N2109" s="19"/>
      <c r="P2109" s="19"/>
      <c r="AL2109" s="19"/>
    </row>
    <row r="2110" spans="1:38" s="11" customFormat="1" x14ac:dyDescent="0.25">
      <c r="A2110" s="3"/>
      <c r="F2110" s="19"/>
      <c r="G2110" s="19"/>
      <c r="N2110" s="19"/>
      <c r="P2110" s="19"/>
      <c r="AL2110" s="19"/>
    </row>
    <row r="2111" spans="1:38" s="11" customFormat="1" x14ac:dyDescent="0.25">
      <c r="A2111" s="3"/>
      <c r="F2111" s="19"/>
      <c r="G2111" s="19"/>
      <c r="N2111" s="19"/>
      <c r="P2111" s="19"/>
      <c r="AL2111" s="19"/>
    </row>
    <row r="2112" spans="1:38" s="11" customFormat="1" x14ac:dyDescent="0.25">
      <c r="A2112" s="3"/>
      <c r="F2112" s="19"/>
      <c r="G2112" s="19"/>
      <c r="N2112" s="19"/>
      <c r="P2112" s="19"/>
      <c r="AL2112" s="19"/>
    </row>
    <row r="2113" spans="1:38" s="11" customFormat="1" x14ac:dyDescent="0.25">
      <c r="A2113" s="3"/>
      <c r="F2113" s="19"/>
      <c r="G2113" s="19"/>
      <c r="N2113" s="19"/>
      <c r="P2113" s="19"/>
      <c r="AL2113" s="19"/>
    </row>
    <row r="2114" spans="1:38" s="11" customFormat="1" x14ac:dyDescent="0.25">
      <c r="A2114" s="3"/>
      <c r="F2114" s="19"/>
      <c r="G2114" s="19"/>
      <c r="N2114" s="19"/>
      <c r="P2114" s="19"/>
      <c r="AL2114" s="19"/>
    </row>
    <row r="2115" spans="1:38" s="11" customFormat="1" x14ac:dyDescent="0.25">
      <c r="A2115" s="3"/>
      <c r="F2115" s="19"/>
      <c r="G2115" s="19"/>
      <c r="N2115" s="19"/>
      <c r="P2115" s="19"/>
      <c r="AL2115" s="19"/>
    </row>
    <row r="2116" spans="1:38" s="11" customFormat="1" x14ac:dyDescent="0.25">
      <c r="A2116" s="3"/>
      <c r="F2116" s="19"/>
      <c r="G2116" s="19"/>
      <c r="N2116" s="19"/>
      <c r="P2116" s="19"/>
      <c r="AL2116" s="19"/>
    </row>
    <row r="2117" spans="1:38" s="11" customFormat="1" x14ac:dyDescent="0.25">
      <c r="A2117" s="3"/>
      <c r="F2117" s="19"/>
      <c r="G2117" s="19"/>
      <c r="N2117" s="19"/>
      <c r="P2117" s="19"/>
      <c r="AL2117" s="19"/>
    </row>
    <row r="2118" spans="1:38" s="11" customFormat="1" x14ac:dyDescent="0.25">
      <c r="A2118" s="3"/>
      <c r="F2118" s="19"/>
      <c r="G2118" s="19"/>
      <c r="N2118" s="19"/>
      <c r="P2118" s="19"/>
      <c r="AL2118" s="19"/>
    </row>
    <row r="2119" spans="1:38" s="11" customFormat="1" x14ac:dyDescent="0.25">
      <c r="A2119" s="3"/>
      <c r="F2119" s="19"/>
      <c r="G2119" s="19"/>
      <c r="N2119" s="19"/>
      <c r="P2119" s="19"/>
      <c r="AL2119" s="19"/>
    </row>
    <row r="2120" spans="1:38" s="11" customFormat="1" x14ac:dyDescent="0.25">
      <c r="A2120" s="3"/>
      <c r="F2120" s="19"/>
      <c r="G2120" s="19"/>
      <c r="N2120" s="19"/>
      <c r="P2120" s="19"/>
      <c r="AL2120" s="19"/>
    </row>
    <row r="2121" spans="1:38" s="11" customFormat="1" x14ac:dyDescent="0.25">
      <c r="A2121" s="3"/>
      <c r="F2121" s="19"/>
      <c r="G2121" s="19"/>
      <c r="N2121" s="19"/>
      <c r="P2121" s="19"/>
      <c r="AL2121" s="19"/>
    </row>
    <row r="2122" spans="1:38" s="11" customFormat="1" x14ac:dyDescent="0.25">
      <c r="A2122" s="3"/>
      <c r="F2122" s="19"/>
      <c r="G2122" s="19"/>
      <c r="N2122" s="19"/>
      <c r="P2122" s="19"/>
      <c r="AL2122" s="19"/>
    </row>
    <row r="2123" spans="1:38" s="11" customFormat="1" x14ac:dyDescent="0.25">
      <c r="A2123" s="3"/>
      <c r="F2123" s="19"/>
      <c r="G2123" s="19"/>
      <c r="N2123" s="19"/>
      <c r="P2123" s="19"/>
      <c r="AL2123" s="19"/>
    </row>
    <row r="2124" spans="1:38" s="11" customFormat="1" x14ac:dyDescent="0.25">
      <c r="A2124" s="3"/>
      <c r="F2124" s="19"/>
      <c r="G2124" s="19"/>
      <c r="N2124" s="19"/>
      <c r="P2124" s="19"/>
      <c r="AL2124" s="19"/>
    </row>
    <row r="2125" spans="1:38" s="11" customFormat="1" x14ac:dyDescent="0.25">
      <c r="A2125" s="3"/>
      <c r="F2125" s="19"/>
      <c r="G2125" s="19"/>
      <c r="N2125" s="19"/>
      <c r="P2125" s="19"/>
      <c r="AL2125" s="19"/>
    </row>
    <row r="2126" spans="1:38" s="11" customFormat="1" x14ac:dyDescent="0.25">
      <c r="A2126" s="3"/>
      <c r="F2126" s="19"/>
      <c r="G2126" s="19"/>
      <c r="N2126" s="19"/>
      <c r="P2126" s="19"/>
      <c r="AL2126" s="19"/>
    </row>
    <row r="2127" spans="1:38" s="11" customFormat="1" x14ac:dyDescent="0.25">
      <c r="A2127" s="3"/>
      <c r="F2127" s="19"/>
      <c r="G2127" s="19"/>
      <c r="N2127" s="19"/>
      <c r="P2127" s="19"/>
      <c r="AL2127" s="19"/>
    </row>
    <row r="2128" spans="1:38" s="11" customFormat="1" x14ac:dyDescent="0.25">
      <c r="A2128" s="3"/>
      <c r="F2128" s="19"/>
      <c r="G2128" s="19"/>
      <c r="N2128" s="19"/>
      <c r="P2128" s="19"/>
      <c r="AL2128" s="19"/>
    </row>
    <row r="2129" spans="1:38" s="11" customFormat="1" x14ac:dyDescent="0.25">
      <c r="A2129" s="3"/>
      <c r="F2129" s="19"/>
      <c r="G2129" s="19"/>
      <c r="N2129" s="19"/>
      <c r="P2129" s="19"/>
      <c r="AL2129" s="19"/>
    </row>
    <row r="2130" spans="1:38" s="11" customFormat="1" x14ac:dyDescent="0.25">
      <c r="A2130" s="3"/>
      <c r="F2130" s="19"/>
      <c r="G2130" s="19"/>
      <c r="N2130" s="19"/>
      <c r="P2130" s="19"/>
      <c r="AL2130" s="19"/>
    </row>
    <row r="2131" spans="1:38" s="11" customFormat="1" x14ac:dyDescent="0.25">
      <c r="A2131" s="3"/>
      <c r="F2131" s="19"/>
      <c r="G2131" s="19"/>
      <c r="N2131" s="19"/>
      <c r="P2131" s="19"/>
      <c r="AL2131" s="19"/>
    </row>
    <row r="2132" spans="1:38" s="11" customFormat="1" x14ac:dyDescent="0.25">
      <c r="A2132" s="3"/>
      <c r="F2132" s="19"/>
      <c r="G2132" s="19"/>
      <c r="N2132" s="19"/>
      <c r="P2132" s="19"/>
      <c r="AL2132" s="19"/>
    </row>
    <row r="2133" spans="1:38" s="11" customFormat="1" x14ac:dyDescent="0.25">
      <c r="A2133" s="3"/>
      <c r="F2133" s="19"/>
      <c r="G2133" s="19"/>
      <c r="N2133" s="19"/>
      <c r="P2133" s="19"/>
      <c r="AL2133" s="19"/>
    </row>
    <row r="2134" spans="1:38" s="11" customFormat="1" x14ac:dyDescent="0.25">
      <c r="A2134" s="3"/>
      <c r="F2134" s="19"/>
      <c r="G2134" s="19"/>
      <c r="N2134" s="19"/>
      <c r="P2134" s="19"/>
      <c r="AL2134" s="19"/>
    </row>
    <row r="2135" spans="1:38" s="11" customFormat="1" x14ac:dyDescent="0.25">
      <c r="A2135" s="3"/>
      <c r="F2135" s="19"/>
      <c r="G2135" s="19"/>
      <c r="N2135" s="19"/>
      <c r="P2135" s="19"/>
      <c r="AL2135" s="19"/>
    </row>
    <row r="2136" spans="1:38" s="11" customFormat="1" x14ac:dyDescent="0.25">
      <c r="A2136" s="3"/>
      <c r="F2136" s="19"/>
      <c r="G2136" s="19"/>
      <c r="N2136" s="19"/>
      <c r="P2136" s="19"/>
      <c r="AL2136" s="19"/>
    </row>
    <row r="2137" spans="1:38" s="11" customFormat="1" x14ac:dyDescent="0.25">
      <c r="A2137" s="3"/>
      <c r="F2137" s="19"/>
      <c r="G2137" s="19"/>
      <c r="N2137" s="19"/>
      <c r="P2137" s="19"/>
      <c r="AL2137" s="19"/>
    </row>
    <row r="2138" spans="1:38" s="11" customFormat="1" x14ac:dyDescent="0.25">
      <c r="A2138" s="3"/>
      <c r="F2138" s="19"/>
      <c r="G2138" s="19"/>
      <c r="N2138" s="19"/>
      <c r="P2138" s="19"/>
      <c r="AL2138" s="19"/>
    </row>
    <row r="2139" spans="1:38" s="11" customFormat="1" x14ac:dyDescent="0.25">
      <c r="A2139" s="3"/>
      <c r="F2139" s="19"/>
      <c r="G2139" s="19"/>
      <c r="N2139" s="19"/>
      <c r="P2139" s="19"/>
      <c r="AL2139" s="19"/>
    </row>
    <row r="2140" spans="1:38" s="11" customFormat="1" x14ac:dyDescent="0.25">
      <c r="A2140" s="3"/>
      <c r="F2140" s="19"/>
      <c r="G2140" s="19"/>
      <c r="N2140" s="19"/>
      <c r="P2140" s="19"/>
      <c r="AL2140" s="19"/>
    </row>
    <row r="2141" spans="1:38" s="11" customFormat="1" x14ac:dyDescent="0.25">
      <c r="A2141" s="3"/>
      <c r="F2141" s="19"/>
      <c r="G2141" s="19"/>
      <c r="N2141" s="19"/>
      <c r="P2141" s="19"/>
      <c r="AL2141" s="19"/>
    </row>
    <row r="2142" spans="1:38" s="11" customFormat="1" x14ac:dyDescent="0.25">
      <c r="A2142" s="3"/>
      <c r="F2142" s="19"/>
      <c r="G2142" s="19"/>
      <c r="N2142" s="19"/>
      <c r="P2142" s="19"/>
      <c r="AL2142" s="19"/>
    </row>
    <row r="2143" spans="1:38" s="11" customFormat="1" x14ac:dyDescent="0.25">
      <c r="A2143" s="3"/>
      <c r="F2143" s="19"/>
      <c r="G2143" s="19"/>
      <c r="N2143" s="19"/>
      <c r="P2143" s="19"/>
      <c r="AL2143" s="19"/>
    </row>
    <row r="2144" spans="1:38" s="11" customFormat="1" x14ac:dyDescent="0.25">
      <c r="A2144" s="3"/>
      <c r="F2144" s="19"/>
      <c r="G2144" s="19"/>
      <c r="N2144" s="19"/>
      <c r="P2144" s="19"/>
      <c r="AL2144" s="19"/>
    </row>
    <row r="2145" spans="1:38" s="11" customFormat="1" x14ac:dyDescent="0.25">
      <c r="A2145" s="3"/>
      <c r="F2145" s="19"/>
      <c r="G2145" s="19"/>
      <c r="N2145" s="19"/>
      <c r="P2145" s="19"/>
      <c r="AL2145" s="19"/>
    </row>
    <row r="2146" spans="1:38" s="11" customFormat="1" x14ac:dyDescent="0.25">
      <c r="A2146" s="3"/>
      <c r="F2146" s="19"/>
      <c r="G2146" s="19"/>
      <c r="N2146" s="19"/>
      <c r="P2146" s="19"/>
      <c r="AL2146" s="19"/>
    </row>
    <row r="2147" spans="1:38" s="11" customFormat="1" x14ac:dyDescent="0.25">
      <c r="A2147" s="3"/>
      <c r="F2147" s="19"/>
      <c r="G2147" s="19"/>
      <c r="N2147" s="19"/>
      <c r="P2147" s="19"/>
      <c r="AL2147" s="19"/>
    </row>
    <row r="2148" spans="1:38" s="11" customFormat="1" x14ac:dyDescent="0.25">
      <c r="A2148" s="3"/>
      <c r="F2148" s="19"/>
      <c r="G2148" s="19"/>
      <c r="N2148" s="19"/>
      <c r="P2148" s="19"/>
      <c r="AL2148" s="19"/>
    </row>
    <row r="2149" spans="1:38" s="11" customFormat="1" x14ac:dyDescent="0.25">
      <c r="A2149" s="3"/>
      <c r="F2149" s="19"/>
      <c r="G2149" s="19"/>
      <c r="N2149" s="19"/>
      <c r="P2149" s="19"/>
      <c r="AL2149" s="19"/>
    </row>
    <row r="2150" spans="1:38" s="11" customFormat="1" x14ac:dyDescent="0.25">
      <c r="A2150" s="3"/>
      <c r="F2150" s="19"/>
      <c r="G2150" s="19"/>
      <c r="N2150" s="19"/>
      <c r="P2150" s="19"/>
      <c r="AL2150" s="19"/>
    </row>
    <row r="2151" spans="1:38" s="11" customFormat="1" x14ac:dyDescent="0.25">
      <c r="A2151" s="3"/>
      <c r="F2151" s="19"/>
      <c r="G2151" s="19"/>
      <c r="N2151" s="19"/>
      <c r="P2151" s="19"/>
      <c r="AL2151" s="19"/>
    </row>
    <row r="2152" spans="1:38" s="11" customFormat="1" x14ac:dyDescent="0.25">
      <c r="A2152" s="3"/>
      <c r="F2152" s="19"/>
      <c r="G2152" s="19"/>
      <c r="N2152" s="19"/>
      <c r="P2152" s="19"/>
      <c r="AL2152" s="19"/>
    </row>
    <row r="2153" spans="1:38" s="11" customFormat="1" x14ac:dyDescent="0.25">
      <c r="A2153" s="3"/>
      <c r="F2153" s="19"/>
      <c r="G2153" s="19"/>
      <c r="N2153" s="19"/>
      <c r="P2153" s="19"/>
      <c r="AL2153" s="19"/>
    </row>
    <row r="2154" spans="1:38" s="11" customFormat="1" x14ac:dyDescent="0.25">
      <c r="A2154" s="3"/>
      <c r="F2154" s="19"/>
      <c r="G2154" s="19"/>
      <c r="N2154" s="19"/>
      <c r="P2154" s="19"/>
      <c r="AL2154" s="19"/>
    </row>
    <row r="2155" spans="1:38" s="11" customFormat="1" x14ac:dyDescent="0.25">
      <c r="A2155" s="3"/>
      <c r="F2155" s="19"/>
      <c r="G2155" s="19"/>
      <c r="N2155" s="19"/>
      <c r="P2155" s="19"/>
      <c r="AL2155" s="19"/>
    </row>
    <row r="2156" spans="1:38" s="11" customFormat="1" x14ac:dyDescent="0.25">
      <c r="A2156" s="3"/>
      <c r="F2156" s="19"/>
      <c r="G2156" s="19"/>
      <c r="N2156" s="19"/>
      <c r="P2156" s="19"/>
      <c r="AL2156" s="19"/>
    </row>
    <row r="2157" spans="1:38" s="11" customFormat="1" x14ac:dyDescent="0.25">
      <c r="A2157" s="3"/>
      <c r="F2157" s="19"/>
      <c r="G2157" s="19"/>
      <c r="N2157" s="19"/>
      <c r="P2157" s="19"/>
      <c r="AL2157" s="19"/>
    </row>
    <row r="2158" spans="1:38" s="11" customFormat="1" x14ac:dyDescent="0.25">
      <c r="A2158" s="3"/>
      <c r="F2158" s="19"/>
      <c r="G2158" s="19"/>
      <c r="N2158" s="19"/>
      <c r="P2158" s="19"/>
      <c r="AL2158" s="19"/>
    </row>
    <row r="2159" spans="1:38" s="11" customFormat="1" x14ac:dyDescent="0.25">
      <c r="A2159" s="3"/>
      <c r="F2159" s="19"/>
      <c r="G2159" s="19"/>
      <c r="N2159" s="19"/>
      <c r="P2159" s="19"/>
      <c r="AL2159" s="19"/>
    </row>
    <row r="2160" spans="1:38" s="11" customFormat="1" x14ac:dyDescent="0.25">
      <c r="A2160" s="3"/>
      <c r="F2160" s="19"/>
      <c r="G2160" s="19"/>
      <c r="N2160" s="19"/>
      <c r="P2160" s="19"/>
      <c r="AL2160" s="19"/>
    </row>
    <row r="2161" spans="1:38" s="11" customFormat="1" x14ac:dyDescent="0.25">
      <c r="A2161" s="3"/>
      <c r="F2161" s="19"/>
      <c r="G2161" s="19"/>
      <c r="N2161" s="19"/>
      <c r="P2161" s="19"/>
      <c r="AL2161" s="19"/>
    </row>
    <row r="2162" spans="1:38" s="11" customFormat="1" x14ac:dyDescent="0.25">
      <c r="A2162" s="3"/>
      <c r="F2162" s="19"/>
      <c r="G2162" s="19"/>
      <c r="N2162" s="19"/>
      <c r="P2162" s="19"/>
      <c r="AL2162" s="19"/>
    </row>
    <row r="2163" spans="1:38" s="11" customFormat="1" x14ac:dyDescent="0.25">
      <c r="A2163" s="3"/>
      <c r="F2163" s="19"/>
      <c r="G2163" s="19"/>
      <c r="N2163" s="19"/>
      <c r="P2163" s="19"/>
      <c r="AL2163" s="19"/>
    </row>
    <row r="2164" spans="1:38" s="11" customFormat="1" x14ac:dyDescent="0.25">
      <c r="A2164" s="3"/>
      <c r="F2164" s="19"/>
      <c r="G2164" s="19"/>
      <c r="N2164" s="19"/>
      <c r="P2164" s="19"/>
      <c r="AL2164" s="19"/>
    </row>
    <row r="2165" spans="1:38" s="11" customFormat="1" x14ac:dyDescent="0.25">
      <c r="A2165" s="3"/>
      <c r="F2165" s="19"/>
      <c r="G2165" s="19"/>
      <c r="N2165" s="19"/>
      <c r="P2165" s="19"/>
      <c r="AL2165" s="19"/>
    </row>
    <row r="2166" spans="1:38" s="11" customFormat="1" x14ac:dyDescent="0.25">
      <c r="A2166" s="3"/>
      <c r="F2166" s="19"/>
      <c r="G2166" s="19"/>
      <c r="N2166" s="19"/>
      <c r="P2166" s="19"/>
      <c r="AL2166" s="19"/>
    </row>
    <row r="2167" spans="1:38" s="11" customFormat="1" x14ac:dyDescent="0.25">
      <c r="A2167" s="3"/>
      <c r="F2167" s="19"/>
      <c r="G2167" s="19"/>
      <c r="N2167" s="19"/>
      <c r="P2167" s="19"/>
      <c r="AL2167" s="19"/>
    </row>
    <row r="2168" spans="1:38" s="11" customFormat="1" x14ac:dyDescent="0.25">
      <c r="A2168" s="3"/>
      <c r="F2168" s="19"/>
      <c r="G2168" s="19"/>
      <c r="N2168" s="19"/>
      <c r="P2168" s="19"/>
      <c r="AL2168" s="19"/>
    </row>
    <row r="2169" spans="1:38" s="11" customFormat="1" x14ac:dyDescent="0.25">
      <c r="A2169" s="3"/>
      <c r="F2169" s="19"/>
      <c r="G2169" s="19"/>
      <c r="N2169" s="19"/>
      <c r="P2169" s="19"/>
      <c r="AL2169" s="19"/>
    </row>
    <row r="2170" spans="1:38" s="11" customFormat="1" x14ac:dyDescent="0.25">
      <c r="A2170" s="3"/>
      <c r="F2170" s="19"/>
      <c r="G2170" s="19"/>
      <c r="N2170" s="19"/>
      <c r="P2170" s="19"/>
      <c r="AL2170" s="19"/>
    </row>
    <row r="2171" spans="1:38" s="11" customFormat="1" x14ac:dyDescent="0.25">
      <c r="A2171" s="3"/>
      <c r="F2171" s="19"/>
      <c r="G2171" s="19"/>
      <c r="N2171" s="19"/>
      <c r="P2171" s="19"/>
      <c r="AL2171" s="19"/>
    </row>
    <row r="2172" spans="1:38" s="11" customFormat="1" x14ac:dyDescent="0.25">
      <c r="A2172" s="3"/>
      <c r="F2172" s="19"/>
      <c r="G2172" s="19"/>
      <c r="N2172" s="19"/>
      <c r="P2172" s="19"/>
      <c r="AL2172" s="19"/>
    </row>
    <row r="2173" spans="1:38" s="11" customFormat="1" x14ac:dyDescent="0.25">
      <c r="A2173" s="3"/>
      <c r="F2173" s="19"/>
      <c r="G2173" s="19"/>
      <c r="N2173" s="19"/>
      <c r="P2173" s="19"/>
      <c r="AL2173" s="19"/>
    </row>
    <row r="2174" spans="1:38" s="11" customFormat="1" x14ac:dyDescent="0.25">
      <c r="A2174" s="3"/>
      <c r="F2174" s="19"/>
      <c r="G2174" s="19"/>
      <c r="N2174" s="19"/>
      <c r="P2174" s="19"/>
      <c r="AL2174" s="19"/>
    </row>
    <row r="2175" spans="1:38" s="11" customFormat="1" x14ac:dyDescent="0.25">
      <c r="A2175" s="3"/>
      <c r="F2175" s="19"/>
      <c r="G2175" s="19"/>
      <c r="N2175" s="19"/>
      <c r="P2175" s="19"/>
      <c r="AL2175" s="19"/>
    </row>
    <row r="2176" spans="1:38" s="11" customFormat="1" x14ac:dyDescent="0.25">
      <c r="A2176" s="3"/>
      <c r="F2176" s="19"/>
      <c r="G2176" s="19"/>
      <c r="N2176" s="19"/>
      <c r="P2176" s="19"/>
      <c r="AL2176" s="19"/>
    </row>
    <row r="2177" spans="1:38" s="11" customFormat="1" x14ac:dyDescent="0.25">
      <c r="A2177" s="3"/>
      <c r="F2177" s="19"/>
      <c r="G2177" s="19"/>
      <c r="N2177" s="19"/>
      <c r="P2177" s="19"/>
      <c r="AL2177" s="19"/>
    </row>
    <row r="2178" spans="1:38" s="11" customFormat="1" x14ac:dyDescent="0.25">
      <c r="A2178" s="3"/>
      <c r="F2178" s="19"/>
      <c r="G2178" s="19"/>
      <c r="N2178" s="19"/>
      <c r="P2178" s="19"/>
      <c r="AL2178" s="19"/>
    </row>
    <row r="2179" spans="1:38" s="11" customFormat="1" x14ac:dyDescent="0.25">
      <c r="A2179" s="3"/>
      <c r="F2179" s="19"/>
      <c r="G2179" s="19"/>
      <c r="N2179" s="19"/>
      <c r="P2179" s="19"/>
      <c r="AL2179" s="19"/>
    </row>
    <row r="2180" spans="1:38" s="11" customFormat="1" x14ac:dyDescent="0.25">
      <c r="A2180" s="3"/>
      <c r="F2180" s="19"/>
      <c r="G2180" s="19"/>
      <c r="N2180" s="19"/>
      <c r="P2180" s="19"/>
      <c r="AL2180" s="19"/>
    </row>
    <row r="2181" spans="1:38" s="11" customFormat="1" x14ac:dyDescent="0.25">
      <c r="A2181" s="3"/>
      <c r="F2181" s="19"/>
      <c r="G2181" s="19"/>
      <c r="N2181" s="19"/>
      <c r="P2181" s="19"/>
      <c r="AL2181" s="19"/>
    </row>
    <row r="2182" spans="1:38" s="11" customFormat="1" x14ac:dyDescent="0.25">
      <c r="A2182" s="3"/>
      <c r="F2182" s="19"/>
      <c r="G2182" s="19"/>
      <c r="N2182" s="19"/>
      <c r="P2182" s="19"/>
      <c r="AL2182" s="19"/>
    </row>
    <row r="2183" spans="1:38" s="11" customFormat="1" x14ac:dyDescent="0.25">
      <c r="A2183" s="3"/>
      <c r="F2183" s="19"/>
      <c r="G2183" s="19"/>
      <c r="N2183" s="19"/>
      <c r="P2183" s="19"/>
      <c r="AL2183" s="19"/>
    </row>
    <row r="2184" spans="1:38" s="11" customFormat="1" x14ac:dyDescent="0.25">
      <c r="A2184" s="3"/>
      <c r="F2184" s="19"/>
      <c r="G2184" s="19"/>
      <c r="N2184" s="19"/>
      <c r="P2184" s="19"/>
      <c r="AL2184" s="19"/>
    </row>
    <row r="2185" spans="1:38" s="11" customFormat="1" x14ac:dyDescent="0.25">
      <c r="A2185" s="3"/>
      <c r="F2185" s="19"/>
      <c r="G2185" s="19"/>
      <c r="N2185" s="19"/>
      <c r="P2185" s="19"/>
      <c r="AL2185" s="19"/>
    </row>
    <row r="2186" spans="1:38" s="11" customFormat="1" x14ac:dyDescent="0.25">
      <c r="A2186" s="3"/>
      <c r="F2186" s="19"/>
      <c r="G2186" s="19"/>
      <c r="N2186" s="19"/>
      <c r="P2186" s="19"/>
      <c r="AL2186" s="19"/>
    </row>
    <row r="2187" spans="1:38" s="11" customFormat="1" x14ac:dyDescent="0.25">
      <c r="A2187" s="3"/>
      <c r="F2187" s="19"/>
      <c r="G2187" s="19"/>
      <c r="N2187" s="19"/>
      <c r="P2187" s="19"/>
      <c r="AL2187" s="19"/>
    </row>
    <row r="2188" spans="1:38" s="11" customFormat="1" x14ac:dyDescent="0.25">
      <c r="A2188" s="3"/>
      <c r="F2188" s="19"/>
      <c r="G2188" s="19"/>
      <c r="N2188" s="19"/>
      <c r="P2188" s="19"/>
      <c r="AL2188" s="19"/>
    </row>
    <row r="2189" spans="1:38" s="11" customFormat="1" x14ac:dyDescent="0.25">
      <c r="A2189" s="3"/>
      <c r="F2189" s="19"/>
      <c r="G2189" s="19"/>
      <c r="N2189" s="19"/>
      <c r="P2189" s="19"/>
      <c r="AL2189" s="19"/>
    </row>
    <row r="2190" spans="1:38" s="11" customFormat="1" x14ac:dyDescent="0.25">
      <c r="A2190" s="3"/>
      <c r="F2190" s="19"/>
      <c r="G2190" s="19"/>
      <c r="N2190" s="19"/>
      <c r="P2190" s="19"/>
      <c r="AL2190" s="19"/>
    </row>
    <row r="2191" spans="1:38" s="11" customFormat="1" x14ac:dyDescent="0.25">
      <c r="A2191" s="3"/>
      <c r="F2191" s="19"/>
      <c r="G2191" s="19"/>
      <c r="N2191" s="19"/>
      <c r="P2191" s="19"/>
      <c r="AL2191" s="19"/>
    </row>
    <row r="2192" spans="1:38" s="11" customFormat="1" x14ac:dyDescent="0.25">
      <c r="A2192" s="3"/>
      <c r="F2192" s="19"/>
      <c r="G2192" s="19"/>
      <c r="N2192" s="19"/>
      <c r="P2192" s="19"/>
      <c r="AL2192" s="19"/>
    </row>
    <row r="2193" spans="1:38" s="11" customFormat="1" x14ac:dyDescent="0.25">
      <c r="A2193" s="3"/>
      <c r="F2193" s="19"/>
      <c r="G2193" s="19"/>
      <c r="N2193" s="19"/>
      <c r="P2193" s="19"/>
      <c r="AL2193" s="19"/>
    </row>
    <row r="2194" spans="1:38" s="11" customFormat="1" x14ac:dyDescent="0.25">
      <c r="A2194" s="3"/>
      <c r="F2194" s="19"/>
      <c r="G2194" s="19"/>
      <c r="N2194" s="19"/>
      <c r="P2194" s="19"/>
      <c r="AL2194" s="19"/>
    </row>
    <row r="2195" spans="1:38" s="11" customFormat="1" x14ac:dyDescent="0.25">
      <c r="A2195" s="3"/>
      <c r="F2195" s="19"/>
      <c r="G2195" s="19"/>
      <c r="N2195" s="19"/>
      <c r="P2195" s="19"/>
      <c r="AL2195" s="19"/>
    </row>
    <row r="2196" spans="1:38" s="11" customFormat="1" x14ac:dyDescent="0.25">
      <c r="A2196" s="3"/>
      <c r="F2196" s="19"/>
      <c r="G2196" s="19"/>
      <c r="N2196" s="19"/>
      <c r="P2196" s="19"/>
      <c r="AL2196" s="19"/>
    </row>
    <row r="2197" spans="1:38" s="11" customFormat="1" x14ac:dyDescent="0.25">
      <c r="A2197" s="3"/>
      <c r="F2197" s="19"/>
      <c r="G2197" s="19"/>
      <c r="N2197" s="19"/>
      <c r="P2197" s="19"/>
      <c r="AL2197" s="19"/>
    </row>
    <row r="2198" spans="1:38" s="11" customFormat="1" x14ac:dyDescent="0.25">
      <c r="A2198" s="3"/>
      <c r="F2198" s="19"/>
      <c r="G2198" s="19"/>
      <c r="N2198" s="19"/>
      <c r="P2198" s="19"/>
      <c r="AL2198" s="19"/>
    </row>
    <row r="2199" spans="1:38" s="11" customFormat="1" x14ac:dyDescent="0.25">
      <c r="A2199" s="3"/>
      <c r="F2199" s="19"/>
      <c r="G2199" s="19"/>
      <c r="N2199" s="19"/>
      <c r="P2199" s="19"/>
      <c r="AL2199" s="19"/>
    </row>
    <row r="2200" spans="1:38" s="11" customFormat="1" x14ac:dyDescent="0.25">
      <c r="A2200" s="3"/>
      <c r="F2200" s="19"/>
      <c r="G2200" s="19"/>
      <c r="N2200" s="19"/>
      <c r="P2200" s="19"/>
      <c r="AL2200" s="19"/>
    </row>
    <row r="2201" spans="1:38" s="11" customFormat="1" x14ac:dyDescent="0.25">
      <c r="A2201" s="3"/>
      <c r="F2201" s="19"/>
      <c r="G2201" s="19"/>
      <c r="N2201" s="19"/>
      <c r="P2201" s="19"/>
      <c r="AL2201" s="19"/>
    </row>
    <row r="2202" spans="1:38" s="11" customFormat="1" x14ac:dyDescent="0.25">
      <c r="A2202" s="3"/>
      <c r="F2202" s="19"/>
      <c r="G2202" s="19"/>
      <c r="N2202" s="19"/>
      <c r="P2202" s="19"/>
      <c r="AL2202" s="19"/>
    </row>
    <row r="2203" spans="1:38" s="11" customFormat="1" x14ac:dyDescent="0.25">
      <c r="A2203" s="3"/>
      <c r="F2203" s="19"/>
      <c r="G2203" s="19"/>
      <c r="N2203" s="19"/>
      <c r="P2203" s="19"/>
      <c r="AL2203" s="19"/>
    </row>
    <row r="2204" spans="1:38" s="11" customFormat="1" x14ac:dyDescent="0.25">
      <c r="A2204" s="3"/>
      <c r="F2204" s="19"/>
      <c r="G2204" s="19"/>
      <c r="N2204" s="19"/>
      <c r="P2204" s="19"/>
      <c r="AL2204" s="19"/>
    </row>
    <row r="2205" spans="1:38" s="11" customFormat="1" x14ac:dyDescent="0.25">
      <c r="A2205" s="3"/>
      <c r="F2205" s="19"/>
      <c r="G2205" s="19"/>
      <c r="N2205" s="19"/>
      <c r="P2205" s="19"/>
      <c r="AL2205" s="19"/>
    </row>
    <row r="2206" spans="1:38" s="11" customFormat="1" x14ac:dyDescent="0.25">
      <c r="A2206" s="3"/>
      <c r="F2206" s="19"/>
      <c r="G2206" s="19"/>
      <c r="N2206" s="19"/>
      <c r="P2206" s="19"/>
      <c r="AL2206" s="19"/>
    </row>
    <row r="2207" spans="1:38" s="11" customFormat="1" x14ac:dyDescent="0.25">
      <c r="A2207" s="3"/>
      <c r="F2207" s="19"/>
      <c r="G2207" s="19"/>
      <c r="N2207" s="19"/>
      <c r="P2207" s="19"/>
      <c r="AL2207" s="19"/>
    </row>
    <row r="2208" spans="1:38" s="11" customFormat="1" x14ac:dyDescent="0.25">
      <c r="A2208" s="3"/>
      <c r="F2208" s="19"/>
      <c r="G2208" s="19"/>
      <c r="N2208" s="19"/>
      <c r="P2208" s="19"/>
      <c r="AL2208" s="19"/>
    </row>
    <row r="2209" spans="1:38" s="11" customFormat="1" x14ac:dyDescent="0.25">
      <c r="A2209" s="3"/>
      <c r="F2209" s="19"/>
      <c r="G2209" s="19"/>
      <c r="N2209" s="19"/>
      <c r="P2209" s="19"/>
      <c r="AL2209" s="19"/>
    </row>
    <row r="2210" spans="1:38" s="11" customFormat="1" x14ac:dyDescent="0.25">
      <c r="A2210" s="3"/>
      <c r="F2210" s="19"/>
      <c r="G2210" s="19"/>
      <c r="N2210" s="19"/>
      <c r="P2210" s="19"/>
      <c r="AL2210" s="19"/>
    </row>
    <row r="2211" spans="1:38" s="11" customFormat="1" x14ac:dyDescent="0.25">
      <c r="A2211" s="3"/>
      <c r="F2211" s="19"/>
      <c r="G2211" s="19"/>
      <c r="N2211" s="19"/>
      <c r="P2211" s="19"/>
      <c r="AL2211" s="19"/>
    </row>
    <row r="2212" spans="1:38" s="11" customFormat="1" x14ac:dyDescent="0.25">
      <c r="A2212" s="3"/>
      <c r="F2212" s="19"/>
      <c r="G2212" s="19"/>
      <c r="N2212" s="19"/>
      <c r="P2212" s="19"/>
      <c r="AL2212" s="19"/>
    </row>
    <row r="2213" spans="1:38" s="11" customFormat="1" x14ac:dyDescent="0.25">
      <c r="A2213" s="3"/>
      <c r="F2213" s="19"/>
      <c r="G2213" s="19"/>
      <c r="N2213" s="19"/>
      <c r="P2213" s="19"/>
      <c r="AL2213" s="19"/>
    </row>
    <row r="2214" spans="1:38" s="11" customFormat="1" x14ac:dyDescent="0.25">
      <c r="A2214" s="3"/>
      <c r="F2214" s="19"/>
      <c r="G2214" s="19"/>
      <c r="N2214" s="19"/>
      <c r="P2214" s="19"/>
      <c r="AL2214" s="19"/>
    </row>
    <row r="2215" spans="1:38" s="11" customFormat="1" x14ac:dyDescent="0.25">
      <c r="A2215" s="3"/>
      <c r="F2215" s="19"/>
      <c r="G2215" s="19"/>
      <c r="N2215" s="19"/>
      <c r="P2215" s="19"/>
      <c r="AL2215" s="19"/>
    </row>
    <row r="2216" spans="1:38" s="11" customFormat="1" x14ac:dyDescent="0.25">
      <c r="A2216" s="3"/>
      <c r="F2216" s="19"/>
      <c r="G2216" s="19"/>
      <c r="N2216" s="19"/>
      <c r="P2216" s="19"/>
      <c r="AL2216" s="19"/>
    </row>
    <row r="2217" spans="1:38" s="11" customFormat="1" x14ac:dyDescent="0.25">
      <c r="A2217" s="3"/>
      <c r="F2217" s="19"/>
      <c r="G2217" s="19"/>
      <c r="N2217" s="19"/>
      <c r="P2217" s="19"/>
      <c r="AL2217" s="19"/>
    </row>
    <row r="2218" spans="1:38" s="11" customFormat="1" x14ac:dyDescent="0.25">
      <c r="A2218" s="3"/>
      <c r="F2218" s="19"/>
      <c r="G2218" s="19"/>
      <c r="N2218" s="19"/>
      <c r="P2218" s="19"/>
      <c r="AL2218" s="19"/>
    </row>
    <row r="2219" spans="1:38" s="11" customFormat="1" x14ac:dyDescent="0.25">
      <c r="A2219" s="3"/>
      <c r="F2219" s="19"/>
      <c r="G2219" s="19"/>
      <c r="N2219" s="19"/>
      <c r="P2219" s="19"/>
      <c r="AL2219" s="19"/>
    </row>
    <row r="2220" spans="1:38" s="11" customFormat="1" x14ac:dyDescent="0.25">
      <c r="A2220" s="3"/>
      <c r="F2220" s="19"/>
      <c r="G2220" s="19"/>
      <c r="N2220" s="19"/>
      <c r="P2220" s="19"/>
      <c r="AL2220" s="19"/>
    </row>
    <row r="2221" spans="1:38" s="11" customFormat="1" x14ac:dyDescent="0.25">
      <c r="A2221" s="3"/>
      <c r="F2221" s="19"/>
      <c r="G2221" s="19"/>
      <c r="N2221" s="19"/>
      <c r="P2221" s="19"/>
      <c r="AL2221" s="19"/>
    </row>
    <row r="2222" spans="1:38" s="11" customFormat="1" x14ac:dyDescent="0.25">
      <c r="A2222" s="3"/>
      <c r="F2222" s="19"/>
      <c r="G2222" s="19"/>
      <c r="N2222" s="19"/>
      <c r="P2222" s="19"/>
      <c r="AL2222" s="19"/>
    </row>
    <row r="2223" spans="1:38" s="11" customFormat="1" x14ac:dyDescent="0.25">
      <c r="A2223" s="3"/>
      <c r="F2223" s="19"/>
      <c r="G2223" s="19"/>
      <c r="N2223" s="19"/>
      <c r="P2223" s="19"/>
      <c r="AL2223" s="19"/>
    </row>
    <row r="2224" spans="1:38" s="11" customFormat="1" x14ac:dyDescent="0.25">
      <c r="A2224" s="3"/>
      <c r="F2224" s="19"/>
      <c r="G2224" s="19"/>
      <c r="N2224" s="19"/>
      <c r="P2224" s="19"/>
      <c r="AL2224" s="19"/>
    </row>
    <row r="2225" spans="1:38" s="11" customFormat="1" x14ac:dyDescent="0.25">
      <c r="A2225" s="3"/>
      <c r="F2225" s="19"/>
      <c r="G2225" s="19"/>
      <c r="N2225" s="19"/>
      <c r="P2225" s="19"/>
      <c r="AL2225" s="19"/>
    </row>
    <row r="2226" spans="1:38" s="11" customFormat="1" x14ac:dyDescent="0.25">
      <c r="A2226" s="3"/>
      <c r="F2226" s="19"/>
      <c r="G2226" s="19"/>
      <c r="N2226" s="19"/>
      <c r="P2226" s="19"/>
      <c r="AL2226" s="19"/>
    </row>
    <row r="2227" spans="1:38" s="11" customFormat="1" x14ac:dyDescent="0.25">
      <c r="A2227" s="3"/>
      <c r="F2227" s="19"/>
      <c r="G2227" s="19"/>
      <c r="N2227" s="19"/>
      <c r="P2227" s="19"/>
      <c r="AL2227" s="19"/>
    </row>
    <row r="2228" spans="1:38" s="11" customFormat="1" x14ac:dyDescent="0.25">
      <c r="A2228" s="3"/>
      <c r="F2228" s="19"/>
      <c r="G2228" s="19"/>
      <c r="N2228" s="19"/>
      <c r="P2228" s="19"/>
      <c r="AL2228" s="19"/>
    </row>
    <row r="2229" spans="1:38" s="11" customFormat="1" x14ac:dyDescent="0.25">
      <c r="A2229" s="3"/>
      <c r="F2229" s="19"/>
      <c r="G2229" s="19"/>
      <c r="N2229" s="19"/>
      <c r="P2229" s="19"/>
      <c r="AL2229" s="19"/>
    </row>
    <row r="2230" spans="1:38" s="11" customFormat="1" x14ac:dyDescent="0.25">
      <c r="A2230" s="3"/>
      <c r="F2230" s="19"/>
      <c r="G2230" s="19"/>
      <c r="N2230" s="19"/>
      <c r="P2230" s="19"/>
      <c r="AL2230" s="19"/>
    </row>
    <row r="2231" spans="1:38" s="11" customFormat="1" x14ac:dyDescent="0.25">
      <c r="A2231" s="3"/>
      <c r="F2231" s="19"/>
      <c r="G2231" s="19"/>
      <c r="N2231" s="19"/>
      <c r="P2231" s="19"/>
      <c r="AL2231" s="19"/>
    </row>
    <row r="2232" spans="1:38" s="11" customFormat="1" x14ac:dyDescent="0.25">
      <c r="A2232" s="3"/>
      <c r="F2232" s="19"/>
      <c r="G2232" s="19"/>
      <c r="N2232" s="19"/>
      <c r="P2232" s="19"/>
      <c r="AL2232" s="19"/>
    </row>
    <row r="2233" spans="1:38" s="11" customFormat="1" x14ac:dyDescent="0.25">
      <c r="A2233" s="3"/>
      <c r="F2233" s="19"/>
      <c r="G2233" s="19"/>
      <c r="N2233" s="19"/>
      <c r="P2233" s="19"/>
      <c r="AL2233" s="19"/>
    </row>
    <row r="2234" spans="1:38" s="11" customFormat="1" x14ac:dyDescent="0.25">
      <c r="A2234" s="3"/>
      <c r="F2234" s="19"/>
      <c r="G2234" s="19"/>
      <c r="N2234" s="19"/>
      <c r="P2234" s="19"/>
      <c r="AL2234" s="19"/>
    </row>
    <row r="2235" spans="1:38" s="11" customFormat="1" x14ac:dyDescent="0.25">
      <c r="A2235" s="3"/>
      <c r="F2235" s="19"/>
      <c r="G2235" s="19"/>
      <c r="N2235" s="19"/>
      <c r="P2235" s="19"/>
      <c r="AL2235" s="19"/>
    </row>
    <row r="2236" spans="1:38" s="11" customFormat="1" x14ac:dyDescent="0.25">
      <c r="A2236" s="3"/>
      <c r="F2236" s="19"/>
      <c r="G2236" s="19"/>
      <c r="N2236" s="19"/>
      <c r="P2236" s="19"/>
      <c r="AL2236" s="19"/>
    </row>
    <row r="2237" spans="1:38" s="11" customFormat="1" x14ac:dyDescent="0.25">
      <c r="A2237" s="3"/>
      <c r="F2237" s="19"/>
      <c r="G2237" s="19"/>
      <c r="N2237" s="19"/>
      <c r="P2237" s="19"/>
      <c r="AL2237" s="19"/>
    </row>
    <row r="2238" spans="1:38" s="11" customFormat="1" x14ac:dyDescent="0.25">
      <c r="A2238" s="3"/>
      <c r="F2238" s="19"/>
      <c r="G2238" s="19"/>
      <c r="N2238" s="19"/>
      <c r="P2238" s="19"/>
      <c r="AL2238" s="19"/>
    </row>
    <row r="2239" spans="1:38" s="11" customFormat="1" x14ac:dyDescent="0.25">
      <c r="A2239" s="3"/>
      <c r="F2239" s="19"/>
      <c r="G2239" s="19"/>
      <c r="N2239" s="19"/>
      <c r="P2239" s="19"/>
      <c r="AL2239" s="19"/>
    </row>
    <row r="2240" spans="1:38" s="11" customFormat="1" x14ac:dyDescent="0.25">
      <c r="A2240" s="3"/>
      <c r="F2240" s="19"/>
      <c r="G2240" s="19"/>
      <c r="N2240" s="19"/>
      <c r="P2240" s="19"/>
      <c r="AL2240" s="19"/>
    </row>
    <row r="2241" spans="1:38" s="11" customFormat="1" x14ac:dyDescent="0.25">
      <c r="A2241" s="3"/>
      <c r="F2241" s="19"/>
      <c r="G2241" s="19"/>
      <c r="N2241" s="19"/>
      <c r="P2241" s="19"/>
      <c r="AL2241" s="19"/>
    </row>
    <row r="2242" spans="1:38" s="11" customFormat="1" x14ac:dyDescent="0.25">
      <c r="A2242" s="3"/>
      <c r="F2242" s="19"/>
      <c r="G2242" s="19"/>
      <c r="N2242" s="19"/>
      <c r="P2242" s="19"/>
      <c r="AL2242" s="19"/>
    </row>
    <row r="2243" spans="1:38" s="11" customFormat="1" x14ac:dyDescent="0.25">
      <c r="A2243" s="3"/>
      <c r="F2243" s="19"/>
      <c r="G2243" s="19"/>
      <c r="N2243" s="19"/>
      <c r="P2243" s="19"/>
      <c r="AL2243" s="19"/>
    </row>
    <row r="2244" spans="1:38" s="11" customFormat="1" x14ac:dyDescent="0.25">
      <c r="A2244" s="3"/>
      <c r="F2244" s="19"/>
      <c r="G2244" s="19"/>
      <c r="N2244" s="19"/>
      <c r="P2244" s="19"/>
      <c r="AL2244" s="19"/>
    </row>
    <row r="2245" spans="1:38" s="11" customFormat="1" x14ac:dyDescent="0.25">
      <c r="A2245" s="3"/>
      <c r="F2245" s="19"/>
      <c r="G2245" s="19"/>
      <c r="N2245" s="19"/>
      <c r="P2245" s="19"/>
      <c r="AL2245" s="19"/>
    </row>
    <row r="2246" spans="1:38" s="11" customFormat="1" x14ac:dyDescent="0.25">
      <c r="A2246" s="3"/>
      <c r="F2246" s="19"/>
      <c r="G2246" s="19"/>
      <c r="N2246" s="19"/>
      <c r="P2246" s="19"/>
      <c r="AL2246" s="19"/>
    </row>
    <row r="2247" spans="1:38" s="11" customFormat="1" x14ac:dyDescent="0.25">
      <c r="A2247" s="3"/>
      <c r="F2247" s="19"/>
      <c r="G2247" s="19"/>
      <c r="N2247" s="19"/>
      <c r="P2247" s="19"/>
      <c r="AL2247" s="19"/>
    </row>
    <row r="2248" spans="1:38" s="11" customFormat="1" x14ac:dyDescent="0.25">
      <c r="A2248" s="3"/>
      <c r="F2248" s="19"/>
      <c r="G2248" s="19"/>
      <c r="N2248" s="19"/>
      <c r="P2248" s="19"/>
      <c r="AL2248" s="19"/>
    </row>
    <row r="2249" spans="1:38" s="11" customFormat="1" x14ac:dyDescent="0.25">
      <c r="A2249" s="3"/>
      <c r="F2249" s="19"/>
      <c r="G2249" s="19"/>
      <c r="N2249" s="19"/>
      <c r="P2249" s="19"/>
      <c r="AL2249" s="19"/>
    </row>
    <row r="2250" spans="1:38" s="11" customFormat="1" x14ac:dyDescent="0.25">
      <c r="A2250" s="3"/>
      <c r="F2250" s="19"/>
      <c r="G2250" s="19"/>
      <c r="N2250" s="19"/>
      <c r="P2250" s="19"/>
      <c r="AL2250" s="19"/>
    </row>
    <row r="2251" spans="1:38" s="11" customFormat="1" x14ac:dyDescent="0.25">
      <c r="A2251" s="3"/>
      <c r="F2251" s="19"/>
      <c r="G2251" s="19"/>
      <c r="N2251" s="19"/>
      <c r="P2251" s="19"/>
      <c r="AL2251" s="19"/>
    </row>
    <row r="2252" spans="1:38" s="11" customFormat="1" x14ac:dyDescent="0.25">
      <c r="A2252" s="3"/>
      <c r="F2252" s="19"/>
      <c r="G2252" s="19"/>
      <c r="N2252" s="19"/>
      <c r="P2252" s="19"/>
      <c r="AL2252" s="19"/>
    </row>
    <row r="2253" spans="1:38" s="11" customFormat="1" x14ac:dyDescent="0.25">
      <c r="A2253" s="3"/>
      <c r="F2253" s="19"/>
      <c r="G2253" s="19"/>
      <c r="N2253" s="19"/>
      <c r="P2253" s="19"/>
      <c r="AL2253" s="19"/>
    </row>
    <row r="2254" spans="1:38" s="11" customFormat="1" x14ac:dyDescent="0.25">
      <c r="A2254" s="3"/>
      <c r="F2254" s="19"/>
      <c r="G2254" s="19"/>
      <c r="N2254" s="19"/>
      <c r="P2254" s="19"/>
      <c r="AL2254" s="19"/>
    </row>
    <row r="2255" spans="1:38" s="11" customFormat="1" x14ac:dyDescent="0.25">
      <c r="A2255" s="3"/>
      <c r="F2255" s="19"/>
      <c r="G2255" s="19"/>
      <c r="N2255" s="19"/>
      <c r="P2255" s="19"/>
      <c r="AL2255" s="19"/>
    </row>
    <row r="2256" spans="1:38" s="11" customFormat="1" x14ac:dyDescent="0.25">
      <c r="A2256" s="3"/>
      <c r="F2256" s="19"/>
      <c r="G2256" s="19"/>
      <c r="N2256" s="19"/>
      <c r="P2256" s="19"/>
      <c r="AL2256" s="19"/>
    </row>
    <row r="2257" spans="1:38" s="11" customFormat="1" x14ac:dyDescent="0.25">
      <c r="A2257" s="3"/>
      <c r="F2257" s="19"/>
      <c r="G2257" s="19"/>
      <c r="N2257" s="19"/>
      <c r="P2257" s="19"/>
      <c r="AL2257" s="19"/>
    </row>
    <row r="2258" spans="1:38" s="11" customFormat="1" x14ac:dyDescent="0.25">
      <c r="A2258" s="3"/>
      <c r="F2258" s="19"/>
      <c r="G2258" s="19"/>
      <c r="N2258" s="19"/>
      <c r="P2258" s="19"/>
      <c r="AL2258" s="19"/>
    </row>
    <row r="2259" spans="1:38" s="11" customFormat="1" x14ac:dyDescent="0.25">
      <c r="A2259" s="3"/>
      <c r="F2259" s="19"/>
      <c r="G2259" s="19"/>
      <c r="N2259" s="19"/>
      <c r="P2259" s="19"/>
      <c r="AL2259" s="19"/>
    </row>
    <row r="2260" spans="1:38" s="11" customFormat="1" x14ac:dyDescent="0.25">
      <c r="A2260" s="3"/>
      <c r="F2260" s="19"/>
      <c r="G2260" s="19"/>
      <c r="N2260" s="19"/>
      <c r="P2260" s="19"/>
      <c r="AL2260" s="19"/>
    </row>
    <row r="2261" spans="1:38" s="11" customFormat="1" x14ac:dyDescent="0.25">
      <c r="A2261" s="3"/>
      <c r="F2261" s="19"/>
      <c r="G2261" s="19"/>
      <c r="N2261" s="19"/>
      <c r="P2261" s="19"/>
      <c r="AL2261" s="19"/>
    </row>
    <row r="2262" spans="1:38" s="11" customFormat="1" x14ac:dyDescent="0.25">
      <c r="A2262" s="3"/>
      <c r="F2262" s="19"/>
      <c r="G2262" s="19"/>
      <c r="N2262" s="19"/>
      <c r="P2262" s="19"/>
      <c r="AL2262" s="19"/>
    </row>
    <row r="2263" spans="1:38" s="11" customFormat="1" x14ac:dyDescent="0.25">
      <c r="A2263" s="3"/>
      <c r="F2263" s="19"/>
      <c r="G2263" s="19"/>
      <c r="N2263" s="19"/>
      <c r="P2263" s="19"/>
      <c r="AL2263" s="19"/>
    </row>
    <row r="2264" spans="1:38" s="11" customFormat="1" x14ac:dyDescent="0.25">
      <c r="A2264" s="3"/>
      <c r="F2264" s="19"/>
      <c r="G2264" s="19"/>
      <c r="N2264" s="19"/>
      <c r="P2264" s="19"/>
      <c r="AL2264" s="19"/>
    </row>
    <row r="2265" spans="1:38" s="11" customFormat="1" x14ac:dyDescent="0.25">
      <c r="A2265" s="3"/>
      <c r="F2265" s="19"/>
      <c r="G2265" s="19"/>
      <c r="N2265" s="19"/>
      <c r="P2265" s="19"/>
      <c r="AL2265" s="19"/>
    </row>
    <row r="2266" spans="1:38" s="11" customFormat="1" x14ac:dyDescent="0.25">
      <c r="A2266" s="3"/>
      <c r="F2266" s="19"/>
      <c r="G2266" s="19"/>
      <c r="N2266" s="19"/>
      <c r="P2266" s="19"/>
      <c r="AL2266" s="19"/>
    </row>
    <row r="2267" spans="1:38" s="11" customFormat="1" x14ac:dyDescent="0.25">
      <c r="A2267" s="3"/>
      <c r="F2267" s="19"/>
      <c r="G2267" s="19"/>
      <c r="N2267" s="19"/>
      <c r="P2267" s="19"/>
      <c r="AL2267" s="19"/>
    </row>
    <row r="2268" spans="1:38" s="11" customFormat="1" x14ac:dyDescent="0.25">
      <c r="A2268" s="3"/>
      <c r="F2268" s="19"/>
      <c r="G2268" s="19"/>
      <c r="N2268" s="19"/>
      <c r="P2268" s="19"/>
      <c r="AL2268" s="19"/>
    </row>
    <row r="2269" spans="1:38" s="11" customFormat="1" x14ac:dyDescent="0.25">
      <c r="A2269" s="3"/>
      <c r="F2269" s="19"/>
      <c r="G2269" s="19"/>
      <c r="N2269" s="19"/>
      <c r="P2269" s="19"/>
      <c r="AL2269" s="19"/>
    </row>
    <row r="2270" spans="1:38" s="11" customFormat="1" x14ac:dyDescent="0.25">
      <c r="A2270" s="3"/>
      <c r="F2270" s="19"/>
      <c r="G2270" s="19"/>
      <c r="N2270" s="19"/>
      <c r="P2270" s="19"/>
      <c r="AL2270" s="19"/>
    </row>
    <row r="2271" spans="1:38" s="11" customFormat="1" x14ac:dyDescent="0.25">
      <c r="A2271" s="3"/>
      <c r="F2271" s="19"/>
      <c r="G2271" s="19"/>
      <c r="N2271" s="19"/>
      <c r="P2271" s="19"/>
      <c r="AL2271" s="19"/>
    </row>
    <row r="2272" spans="1:38" s="11" customFormat="1" x14ac:dyDescent="0.25">
      <c r="A2272" s="3"/>
      <c r="F2272" s="19"/>
      <c r="G2272" s="19"/>
      <c r="N2272" s="19"/>
      <c r="P2272" s="19"/>
      <c r="AL2272" s="19"/>
    </row>
    <row r="2273" spans="1:38" s="11" customFormat="1" x14ac:dyDescent="0.25">
      <c r="A2273" s="3"/>
      <c r="F2273" s="19"/>
      <c r="G2273" s="19"/>
      <c r="N2273" s="19"/>
      <c r="P2273" s="19"/>
      <c r="AL2273" s="19"/>
    </row>
    <row r="2274" spans="1:38" s="11" customFormat="1" x14ac:dyDescent="0.25">
      <c r="A2274" s="3"/>
      <c r="F2274" s="19"/>
      <c r="G2274" s="19"/>
      <c r="N2274" s="19"/>
      <c r="P2274" s="19"/>
      <c r="AL2274" s="19"/>
    </row>
    <row r="2275" spans="1:38" s="11" customFormat="1" x14ac:dyDescent="0.25">
      <c r="A2275" s="3"/>
      <c r="F2275" s="19"/>
      <c r="G2275" s="19"/>
      <c r="N2275" s="19"/>
      <c r="P2275" s="19"/>
      <c r="AL2275" s="19"/>
    </row>
    <row r="2276" spans="1:38" s="11" customFormat="1" x14ac:dyDescent="0.25">
      <c r="A2276" s="3"/>
      <c r="F2276" s="19"/>
      <c r="G2276" s="19"/>
      <c r="N2276" s="19"/>
      <c r="P2276" s="19"/>
      <c r="AL2276" s="19"/>
    </row>
    <row r="2277" spans="1:38" s="11" customFormat="1" x14ac:dyDescent="0.25">
      <c r="A2277" s="3"/>
      <c r="F2277" s="19"/>
      <c r="G2277" s="19"/>
      <c r="N2277" s="19"/>
      <c r="P2277" s="19"/>
      <c r="AL2277" s="19"/>
    </row>
    <row r="2278" spans="1:38" s="11" customFormat="1" x14ac:dyDescent="0.25">
      <c r="A2278" s="3"/>
      <c r="F2278" s="19"/>
      <c r="G2278" s="19"/>
      <c r="N2278" s="19"/>
      <c r="P2278" s="19"/>
      <c r="AL2278" s="19"/>
    </row>
    <row r="2279" spans="1:38" s="11" customFormat="1" x14ac:dyDescent="0.25">
      <c r="A2279" s="3"/>
      <c r="F2279" s="19"/>
      <c r="G2279" s="19"/>
      <c r="N2279" s="19"/>
      <c r="P2279" s="19"/>
      <c r="AL2279" s="19"/>
    </row>
    <row r="2280" spans="1:38" s="11" customFormat="1" x14ac:dyDescent="0.25">
      <c r="A2280" s="3"/>
      <c r="F2280" s="19"/>
      <c r="G2280" s="19"/>
      <c r="N2280" s="19"/>
      <c r="P2280" s="19"/>
      <c r="AL2280" s="19"/>
    </row>
    <row r="2281" spans="1:38" s="11" customFormat="1" x14ac:dyDescent="0.25">
      <c r="A2281" s="3"/>
      <c r="F2281" s="19"/>
      <c r="G2281" s="19"/>
      <c r="N2281" s="19"/>
      <c r="P2281" s="19"/>
      <c r="AL2281" s="19"/>
    </row>
    <row r="2282" spans="1:38" s="11" customFormat="1" x14ac:dyDescent="0.25">
      <c r="A2282" s="3"/>
      <c r="F2282" s="19"/>
      <c r="G2282" s="19"/>
      <c r="N2282" s="19"/>
      <c r="P2282" s="19"/>
      <c r="AL2282" s="19"/>
    </row>
    <row r="2283" spans="1:38" s="11" customFormat="1" x14ac:dyDescent="0.25">
      <c r="A2283" s="3"/>
      <c r="F2283" s="19"/>
      <c r="G2283" s="19"/>
      <c r="N2283" s="19"/>
      <c r="P2283" s="19"/>
      <c r="AL2283" s="19"/>
    </row>
    <row r="2284" spans="1:38" s="11" customFormat="1" x14ac:dyDescent="0.25">
      <c r="A2284" s="3"/>
      <c r="F2284" s="19"/>
      <c r="G2284" s="19"/>
      <c r="N2284" s="19"/>
      <c r="P2284" s="19"/>
      <c r="AL2284" s="19"/>
    </row>
    <row r="2285" spans="1:38" s="11" customFormat="1" x14ac:dyDescent="0.25">
      <c r="A2285" s="3"/>
      <c r="F2285" s="19"/>
      <c r="G2285" s="19"/>
      <c r="N2285" s="19"/>
      <c r="P2285" s="19"/>
      <c r="AL2285" s="19"/>
    </row>
    <row r="2286" spans="1:38" s="11" customFormat="1" x14ac:dyDescent="0.25">
      <c r="A2286" s="3"/>
      <c r="F2286" s="19"/>
      <c r="G2286" s="19"/>
      <c r="N2286" s="19"/>
      <c r="P2286" s="19"/>
      <c r="AL2286" s="19"/>
    </row>
    <row r="2287" spans="1:38" s="11" customFormat="1" x14ac:dyDescent="0.25">
      <c r="A2287" s="3"/>
      <c r="F2287" s="19"/>
      <c r="G2287" s="19"/>
      <c r="N2287" s="19"/>
      <c r="P2287" s="19"/>
      <c r="AL2287" s="19"/>
    </row>
    <row r="2288" spans="1:38" s="11" customFormat="1" x14ac:dyDescent="0.25">
      <c r="A2288" s="3"/>
      <c r="F2288" s="19"/>
      <c r="G2288" s="19"/>
      <c r="N2288" s="19"/>
      <c r="P2288" s="19"/>
      <c r="AL2288" s="19"/>
    </row>
    <row r="2289" spans="1:38" s="11" customFormat="1" x14ac:dyDescent="0.25">
      <c r="A2289" s="3"/>
      <c r="F2289" s="19"/>
      <c r="G2289" s="19"/>
      <c r="N2289" s="19"/>
      <c r="P2289" s="19"/>
      <c r="AL2289" s="19"/>
    </row>
    <row r="2290" spans="1:38" s="11" customFormat="1" x14ac:dyDescent="0.25">
      <c r="A2290" s="3"/>
      <c r="F2290" s="19"/>
      <c r="G2290" s="19"/>
      <c r="N2290" s="19"/>
      <c r="P2290" s="19"/>
      <c r="AL2290" s="19"/>
    </row>
    <row r="2291" spans="1:38" s="11" customFormat="1" x14ac:dyDescent="0.25">
      <c r="A2291" s="3"/>
      <c r="F2291" s="19"/>
      <c r="G2291" s="19"/>
      <c r="N2291" s="19"/>
      <c r="P2291" s="19"/>
      <c r="AL2291" s="19"/>
    </row>
    <row r="2292" spans="1:38" s="11" customFormat="1" x14ac:dyDescent="0.25">
      <c r="A2292" s="3"/>
      <c r="F2292" s="19"/>
      <c r="G2292" s="19"/>
      <c r="N2292" s="19"/>
      <c r="P2292" s="19"/>
      <c r="AL2292" s="19"/>
    </row>
    <row r="2293" spans="1:38" s="11" customFormat="1" x14ac:dyDescent="0.25">
      <c r="A2293" s="3"/>
      <c r="F2293" s="19"/>
      <c r="G2293" s="19"/>
      <c r="N2293" s="19"/>
      <c r="P2293" s="19"/>
      <c r="AL2293" s="19"/>
    </row>
    <row r="2294" spans="1:38" s="11" customFormat="1" x14ac:dyDescent="0.25">
      <c r="A2294" s="3"/>
      <c r="F2294" s="19"/>
      <c r="G2294" s="19"/>
      <c r="N2294" s="19"/>
      <c r="P2294" s="19"/>
      <c r="AL2294" s="19"/>
    </row>
    <row r="2295" spans="1:38" s="11" customFormat="1" x14ac:dyDescent="0.25">
      <c r="A2295" s="3"/>
      <c r="F2295" s="19"/>
      <c r="G2295" s="19"/>
      <c r="N2295" s="19"/>
      <c r="P2295" s="19"/>
      <c r="AL2295" s="19"/>
    </row>
    <row r="2296" spans="1:38" s="11" customFormat="1" x14ac:dyDescent="0.25">
      <c r="A2296" s="3"/>
      <c r="F2296" s="19"/>
      <c r="G2296" s="19"/>
      <c r="N2296" s="19"/>
      <c r="P2296" s="19"/>
      <c r="AL2296" s="19"/>
    </row>
    <row r="2297" spans="1:38" s="11" customFormat="1" x14ac:dyDescent="0.25">
      <c r="A2297" s="3"/>
      <c r="F2297" s="19"/>
      <c r="G2297" s="19"/>
      <c r="N2297" s="19"/>
      <c r="P2297" s="19"/>
      <c r="AL2297" s="19"/>
    </row>
    <row r="2298" spans="1:38" s="11" customFormat="1" x14ac:dyDescent="0.25">
      <c r="A2298" s="3"/>
      <c r="F2298" s="19"/>
      <c r="G2298" s="19"/>
      <c r="N2298" s="19"/>
      <c r="P2298" s="19"/>
      <c r="AL2298" s="19"/>
    </row>
    <row r="2299" spans="1:38" s="11" customFormat="1" x14ac:dyDescent="0.25">
      <c r="A2299" s="3"/>
      <c r="F2299" s="19"/>
      <c r="G2299" s="19"/>
      <c r="N2299" s="19"/>
      <c r="P2299" s="19"/>
      <c r="AL2299" s="19"/>
    </row>
    <row r="2300" spans="1:38" s="11" customFormat="1" x14ac:dyDescent="0.25">
      <c r="A2300" s="3"/>
      <c r="F2300" s="19"/>
      <c r="G2300" s="19"/>
      <c r="N2300" s="19"/>
      <c r="P2300" s="19"/>
      <c r="AL2300" s="19"/>
    </row>
    <row r="2301" spans="1:38" s="11" customFormat="1" x14ac:dyDescent="0.25">
      <c r="A2301" s="3"/>
      <c r="F2301" s="19"/>
      <c r="G2301" s="19"/>
      <c r="N2301" s="19"/>
      <c r="P2301" s="19"/>
      <c r="AL2301" s="19"/>
    </row>
    <row r="2302" spans="1:38" s="11" customFormat="1" x14ac:dyDescent="0.25">
      <c r="A2302" s="3"/>
      <c r="F2302" s="19"/>
      <c r="G2302" s="19"/>
      <c r="N2302" s="19"/>
      <c r="P2302" s="19"/>
      <c r="AL2302" s="19"/>
    </row>
    <row r="2303" spans="1:38" s="11" customFormat="1" x14ac:dyDescent="0.25">
      <c r="A2303" s="3"/>
      <c r="F2303" s="19"/>
      <c r="G2303" s="19"/>
      <c r="N2303" s="19"/>
      <c r="P2303" s="19"/>
      <c r="AL2303" s="19"/>
    </row>
    <row r="2304" spans="1:38" s="11" customFormat="1" x14ac:dyDescent="0.25">
      <c r="A2304" s="3"/>
      <c r="F2304" s="19"/>
      <c r="G2304" s="19"/>
      <c r="N2304" s="19"/>
      <c r="P2304" s="19"/>
      <c r="AL2304" s="19"/>
    </row>
    <row r="2305" spans="1:38" s="11" customFormat="1" x14ac:dyDescent="0.25">
      <c r="A2305" s="3"/>
      <c r="F2305" s="19"/>
      <c r="G2305" s="19"/>
      <c r="N2305" s="19"/>
      <c r="P2305" s="19"/>
      <c r="AL2305" s="19"/>
    </row>
    <row r="2306" spans="1:38" s="11" customFormat="1" x14ac:dyDescent="0.25">
      <c r="A2306" s="3"/>
      <c r="F2306" s="19"/>
      <c r="G2306" s="19"/>
      <c r="N2306" s="19"/>
      <c r="P2306" s="19"/>
      <c r="AL2306" s="19"/>
    </row>
    <row r="2307" spans="1:38" s="11" customFormat="1" x14ac:dyDescent="0.25">
      <c r="A2307" s="3"/>
      <c r="F2307" s="19"/>
      <c r="G2307" s="19"/>
      <c r="N2307" s="19"/>
      <c r="P2307" s="19"/>
      <c r="AL2307" s="19"/>
    </row>
    <row r="2308" spans="1:38" s="11" customFormat="1" x14ac:dyDescent="0.25">
      <c r="A2308" s="3"/>
      <c r="F2308" s="19"/>
      <c r="G2308" s="19"/>
      <c r="N2308" s="19"/>
      <c r="P2308" s="19"/>
      <c r="AL2308" s="19"/>
    </row>
    <row r="2309" spans="1:38" s="11" customFormat="1" x14ac:dyDescent="0.25">
      <c r="A2309" s="3"/>
      <c r="F2309" s="19"/>
      <c r="G2309" s="19"/>
      <c r="N2309" s="19"/>
      <c r="P2309" s="19"/>
      <c r="AL2309" s="19"/>
    </row>
    <row r="2310" spans="1:38" s="11" customFormat="1" x14ac:dyDescent="0.25">
      <c r="A2310" s="3"/>
      <c r="F2310" s="19"/>
      <c r="G2310" s="19"/>
      <c r="N2310" s="19"/>
      <c r="P2310" s="19"/>
      <c r="AL2310" s="19"/>
    </row>
    <row r="2311" spans="1:38" s="11" customFormat="1" x14ac:dyDescent="0.25">
      <c r="A2311" s="3"/>
      <c r="F2311" s="19"/>
      <c r="G2311" s="19"/>
      <c r="N2311" s="19"/>
      <c r="P2311" s="19"/>
      <c r="AL2311" s="19"/>
    </row>
    <row r="2312" spans="1:38" s="11" customFormat="1" x14ac:dyDescent="0.25">
      <c r="A2312" s="3"/>
      <c r="F2312" s="19"/>
      <c r="G2312" s="19"/>
      <c r="N2312" s="19"/>
      <c r="P2312" s="19"/>
      <c r="AL2312" s="19"/>
    </row>
    <row r="2313" spans="1:38" s="11" customFormat="1" x14ac:dyDescent="0.25">
      <c r="A2313" s="3"/>
      <c r="F2313" s="19"/>
      <c r="G2313" s="19"/>
      <c r="N2313" s="19"/>
      <c r="P2313" s="19"/>
      <c r="AL2313" s="19"/>
    </row>
    <row r="2314" spans="1:38" s="11" customFormat="1" x14ac:dyDescent="0.25">
      <c r="A2314" s="3"/>
      <c r="F2314" s="19"/>
      <c r="G2314" s="19"/>
      <c r="N2314" s="19"/>
      <c r="P2314" s="19"/>
      <c r="AL2314" s="19"/>
    </row>
    <row r="2315" spans="1:38" s="11" customFormat="1" x14ac:dyDescent="0.25">
      <c r="A2315" s="3"/>
      <c r="F2315" s="19"/>
      <c r="G2315" s="19"/>
      <c r="N2315" s="19"/>
      <c r="P2315" s="19"/>
      <c r="AL2315" s="19"/>
    </row>
    <row r="2316" spans="1:38" s="11" customFormat="1" x14ac:dyDescent="0.25">
      <c r="A2316" s="3"/>
      <c r="F2316" s="19"/>
      <c r="G2316" s="19"/>
      <c r="N2316" s="19"/>
      <c r="P2316" s="19"/>
      <c r="AL2316" s="19"/>
    </row>
    <row r="2317" spans="1:38" s="11" customFormat="1" x14ac:dyDescent="0.25">
      <c r="A2317" s="3"/>
      <c r="F2317" s="19"/>
      <c r="G2317" s="19"/>
      <c r="N2317" s="19"/>
      <c r="P2317" s="19"/>
      <c r="AL2317" s="19"/>
    </row>
    <row r="2318" spans="1:38" s="11" customFormat="1" x14ac:dyDescent="0.25">
      <c r="A2318" s="3"/>
      <c r="F2318" s="19"/>
      <c r="G2318" s="19"/>
      <c r="N2318" s="19"/>
      <c r="P2318" s="19"/>
      <c r="AL2318" s="19"/>
    </row>
    <row r="2319" spans="1:38" s="11" customFormat="1" x14ac:dyDescent="0.25">
      <c r="A2319" s="3"/>
      <c r="F2319" s="19"/>
      <c r="G2319" s="19"/>
      <c r="N2319" s="19"/>
      <c r="P2319" s="19"/>
      <c r="AL2319" s="19"/>
    </row>
    <row r="2320" spans="1:38" s="11" customFormat="1" x14ac:dyDescent="0.25">
      <c r="A2320" s="3"/>
      <c r="F2320" s="19"/>
      <c r="G2320" s="19"/>
      <c r="N2320" s="19"/>
      <c r="P2320" s="19"/>
      <c r="AL2320" s="19"/>
    </row>
    <row r="2321" spans="1:38" s="11" customFormat="1" x14ac:dyDescent="0.25">
      <c r="A2321" s="3"/>
      <c r="F2321" s="19"/>
      <c r="G2321" s="19"/>
      <c r="N2321" s="19"/>
      <c r="P2321" s="19"/>
      <c r="AL2321" s="19"/>
    </row>
    <row r="2322" spans="1:38" s="11" customFormat="1" x14ac:dyDescent="0.25">
      <c r="A2322" s="3"/>
      <c r="F2322" s="19"/>
      <c r="G2322" s="19"/>
      <c r="N2322" s="19"/>
      <c r="P2322" s="19"/>
      <c r="AL2322" s="19"/>
    </row>
    <row r="2323" spans="1:38" s="11" customFormat="1" x14ac:dyDescent="0.25">
      <c r="A2323" s="3"/>
      <c r="F2323" s="19"/>
      <c r="G2323" s="19"/>
      <c r="N2323" s="19"/>
      <c r="P2323" s="19"/>
      <c r="AL2323" s="19"/>
    </row>
    <row r="2324" spans="1:38" s="11" customFormat="1" x14ac:dyDescent="0.25">
      <c r="A2324" s="3"/>
      <c r="F2324" s="19"/>
      <c r="G2324" s="19"/>
      <c r="N2324" s="19"/>
      <c r="P2324" s="19"/>
      <c r="AL2324" s="19"/>
    </row>
    <row r="2325" spans="1:38" s="11" customFormat="1" x14ac:dyDescent="0.25">
      <c r="A2325" s="3"/>
      <c r="F2325" s="19"/>
      <c r="G2325" s="19"/>
      <c r="N2325" s="19"/>
      <c r="P2325" s="19"/>
      <c r="AL2325" s="19"/>
    </row>
    <row r="2326" spans="1:38" s="11" customFormat="1" x14ac:dyDescent="0.25">
      <c r="A2326" s="3"/>
      <c r="F2326" s="19"/>
      <c r="G2326" s="19"/>
      <c r="N2326" s="19"/>
      <c r="P2326" s="19"/>
      <c r="AL2326" s="19"/>
    </row>
    <row r="2327" spans="1:38" s="11" customFormat="1" x14ac:dyDescent="0.25">
      <c r="A2327" s="3"/>
      <c r="F2327" s="19"/>
      <c r="G2327" s="19"/>
      <c r="N2327" s="19"/>
      <c r="P2327" s="19"/>
      <c r="AL2327" s="19"/>
    </row>
    <row r="2328" spans="1:38" s="11" customFormat="1" x14ac:dyDescent="0.25">
      <c r="A2328" s="3"/>
      <c r="F2328" s="19"/>
      <c r="G2328" s="19"/>
      <c r="N2328" s="19"/>
      <c r="P2328" s="19"/>
      <c r="AL2328" s="19"/>
    </row>
    <row r="2329" spans="1:38" s="11" customFormat="1" x14ac:dyDescent="0.25">
      <c r="A2329" s="3"/>
      <c r="F2329" s="19"/>
      <c r="G2329" s="19"/>
      <c r="N2329" s="19"/>
      <c r="P2329" s="19"/>
      <c r="AL2329" s="19"/>
    </row>
    <row r="2330" spans="1:38" s="11" customFormat="1" x14ac:dyDescent="0.25">
      <c r="A2330" s="3"/>
      <c r="F2330" s="19"/>
      <c r="G2330" s="19"/>
      <c r="N2330" s="19"/>
      <c r="P2330" s="19"/>
      <c r="AL2330" s="19"/>
    </row>
    <row r="2331" spans="1:38" s="11" customFormat="1" x14ac:dyDescent="0.25">
      <c r="A2331" s="3"/>
      <c r="F2331" s="19"/>
      <c r="G2331" s="19"/>
      <c r="N2331" s="19"/>
      <c r="P2331" s="19"/>
      <c r="AL2331" s="19"/>
    </row>
    <row r="2332" spans="1:38" s="11" customFormat="1" x14ac:dyDescent="0.25">
      <c r="A2332" s="3"/>
      <c r="F2332" s="19"/>
      <c r="G2332" s="19"/>
      <c r="N2332" s="19"/>
      <c r="P2332" s="19"/>
      <c r="AL2332" s="19"/>
    </row>
    <row r="2333" spans="1:38" s="11" customFormat="1" x14ac:dyDescent="0.25">
      <c r="A2333" s="3"/>
      <c r="F2333" s="19"/>
      <c r="G2333" s="19"/>
      <c r="N2333" s="19"/>
      <c r="P2333" s="19"/>
      <c r="AL2333" s="19"/>
    </row>
    <row r="2334" spans="1:38" s="11" customFormat="1" x14ac:dyDescent="0.25">
      <c r="A2334" s="3"/>
      <c r="F2334" s="19"/>
      <c r="G2334" s="19"/>
      <c r="N2334" s="19"/>
      <c r="P2334" s="19"/>
      <c r="AL2334" s="19"/>
    </row>
    <row r="2335" spans="1:38" s="11" customFormat="1" x14ac:dyDescent="0.25">
      <c r="A2335" s="3"/>
      <c r="F2335" s="19"/>
      <c r="G2335" s="19"/>
      <c r="N2335" s="19"/>
      <c r="P2335" s="19"/>
      <c r="AL2335" s="19"/>
    </row>
    <row r="2336" spans="1:38" s="11" customFormat="1" x14ac:dyDescent="0.25">
      <c r="A2336" s="3"/>
      <c r="F2336" s="19"/>
      <c r="G2336" s="19"/>
      <c r="N2336" s="19"/>
      <c r="P2336" s="19"/>
      <c r="AL2336" s="19"/>
    </row>
    <row r="2337" spans="1:38" s="11" customFormat="1" x14ac:dyDescent="0.25">
      <c r="A2337" s="3"/>
      <c r="F2337" s="19"/>
      <c r="G2337" s="19"/>
      <c r="N2337" s="19"/>
      <c r="P2337" s="19"/>
      <c r="AL2337" s="19"/>
    </row>
    <row r="2338" spans="1:38" s="11" customFormat="1" x14ac:dyDescent="0.25">
      <c r="A2338" s="3"/>
      <c r="F2338" s="19"/>
      <c r="G2338" s="19"/>
      <c r="N2338" s="19"/>
      <c r="P2338" s="19"/>
      <c r="AL2338" s="19"/>
    </row>
    <row r="2339" spans="1:38" s="11" customFormat="1" x14ac:dyDescent="0.25">
      <c r="A2339" s="3"/>
      <c r="F2339" s="19"/>
      <c r="G2339" s="19"/>
      <c r="N2339" s="19"/>
      <c r="P2339" s="19"/>
      <c r="AL2339" s="19"/>
    </row>
    <row r="2340" spans="1:38" s="11" customFormat="1" x14ac:dyDescent="0.25">
      <c r="A2340" s="3"/>
      <c r="F2340" s="19"/>
      <c r="G2340" s="19"/>
      <c r="N2340" s="19"/>
      <c r="P2340" s="19"/>
      <c r="AL2340" s="19"/>
    </row>
    <row r="2341" spans="1:38" s="11" customFormat="1" x14ac:dyDescent="0.25">
      <c r="A2341" s="3"/>
      <c r="F2341" s="19"/>
      <c r="G2341" s="19"/>
      <c r="N2341" s="19"/>
      <c r="P2341" s="19"/>
      <c r="AL2341" s="19"/>
    </row>
    <row r="2342" spans="1:38" s="11" customFormat="1" x14ac:dyDescent="0.25">
      <c r="A2342" s="3"/>
      <c r="F2342" s="19"/>
      <c r="G2342" s="19"/>
      <c r="N2342" s="19"/>
      <c r="P2342" s="19"/>
      <c r="AL2342" s="19"/>
    </row>
    <row r="2343" spans="1:38" s="11" customFormat="1" x14ac:dyDescent="0.25">
      <c r="A2343" s="3"/>
      <c r="F2343" s="19"/>
      <c r="G2343" s="19"/>
      <c r="N2343" s="19"/>
      <c r="P2343" s="19"/>
      <c r="AL2343" s="19"/>
    </row>
    <row r="2344" spans="1:38" s="11" customFormat="1" x14ac:dyDescent="0.25">
      <c r="A2344" s="3"/>
      <c r="F2344" s="19"/>
      <c r="G2344" s="19"/>
      <c r="N2344" s="19"/>
      <c r="P2344" s="19"/>
      <c r="AL2344" s="19"/>
    </row>
    <row r="2345" spans="1:38" s="11" customFormat="1" x14ac:dyDescent="0.25">
      <c r="A2345" s="3"/>
      <c r="F2345" s="19"/>
      <c r="G2345" s="19"/>
      <c r="N2345" s="19"/>
      <c r="P2345" s="19"/>
      <c r="AL2345" s="19"/>
    </row>
    <row r="2346" spans="1:38" s="11" customFormat="1" x14ac:dyDescent="0.25">
      <c r="A2346" s="3"/>
      <c r="F2346" s="19"/>
      <c r="G2346" s="19"/>
      <c r="N2346" s="19"/>
      <c r="P2346" s="19"/>
      <c r="AL2346" s="19"/>
    </row>
    <row r="2347" spans="1:38" s="11" customFormat="1" x14ac:dyDescent="0.25">
      <c r="A2347" s="3"/>
      <c r="F2347" s="19"/>
      <c r="G2347" s="19"/>
      <c r="N2347" s="19"/>
      <c r="P2347" s="19"/>
      <c r="AL2347" s="19"/>
    </row>
    <row r="2348" spans="1:38" s="11" customFormat="1" x14ac:dyDescent="0.25">
      <c r="A2348" s="3"/>
      <c r="F2348" s="19"/>
      <c r="G2348" s="19"/>
      <c r="N2348" s="19"/>
      <c r="P2348" s="19"/>
      <c r="AL2348" s="19"/>
    </row>
    <row r="2349" spans="1:38" s="11" customFormat="1" x14ac:dyDescent="0.25">
      <c r="A2349" s="3"/>
      <c r="F2349" s="19"/>
      <c r="G2349" s="19"/>
      <c r="N2349" s="19"/>
      <c r="P2349" s="19"/>
      <c r="AL2349" s="19"/>
    </row>
    <row r="2350" spans="1:38" s="11" customFormat="1" x14ac:dyDescent="0.25">
      <c r="A2350" s="3"/>
      <c r="F2350" s="19"/>
      <c r="G2350" s="19"/>
      <c r="N2350" s="19"/>
      <c r="P2350" s="19"/>
      <c r="AL2350" s="19"/>
    </row>
    <row r="2351" spans="1:38" s="11" customFormat="1" x14ac:dyDescent="0.25">
      <c r="A2351" s="3"/>
      <c r="F2351" s="19"/>
      <c r="G2351" s="19"/>
      <c r="N2351" s="19"/>
      <c r="P2351" s="19"/>
      <c r="AL2351" s="19"/>
    </row>
    <row r="2352" spans="1:38" s="11" customFormat="1" x14ac:dyDescent="0.25">
      <c r="A2352" s="3"/>
      <c r="F2352" s="19"/>
      <c r="G2352" s="19"/>
      <c r="N2352" s="19"/>
      <c r="P2352" s="19"/>
      <c r="AL2352" s="19"/>
    </row>
    <row r="2353" spans="1:38" s="11" customFormat="1" x14ac:dyDescent="0.25">
      <c r="A2353" s="3"/>
      <c r="F2353" s="19"/>
      <c r="G2353" s="19"/>
      <c r="N2353" s="19"/>
      <c r="P2353" s="19"/>
      <c r="AL2353" s="19"/>
    </row>
    <row r="2354" spans="1:38" s="11" customFormat="1" x14ac:dyDescent="0.25">
      <c r="A2354" s="3"/>
      <c r="F2354" s="19"/>
      <c r="G2354" s="19"/>
      <c r="N2354" s="19"/>
      <c r="P2354" s="19"/>
      <c r="AL2354" s="19"/>
    </row>
    <row r="2355" spans="1:38" s="11" customFormat="1" x14ac:dyDescent="0.25">
      <c r="A2355" s="3"/>
      <c r="F2355" s="19"/>
      <c r="G2355" s="19"/>
      <c r="N2355" s="19"/>
      <c r="P2355" s="19"/>
      <c r="AL2355" s="19"/>
    </row>
    <row r="2356" spans="1:38" s="11" customFormat="1" x14ac:dyDescent="0.25">
      <c r="A2356" s="3"/>
      <c r="F2356" s="19"/>
      <c r="G2356" s="19"/>
      <c r="N2356" s="19"/>
      <c r="P2356" s="19"/>
      <c r="AL2356" s="19"/>
    </row>
    <row r="2357" spans="1:38" s="11" customFormat="1" x14ac:dyDescent="0.25">
      <c r="A2357" s="3"/>
      <c r="F2357" s="19"/>
      <c r="G2357" s="19"/>
      <c r="N2357" s="19"/>
      <c r="P2357" s="19"/>
      <c r="AL2357" s="19"/>
    </row>
    <row r="2358" spans="1:38" s="11" customFormat="1" x14ac:dyDescent="0.25">
      <c r="A2358" s="3"/>
      <c r="F2358" s="19"/>
      <c r="G2358" s="19"/>
      <c r="N2358" s="19"/>
      <c r="P2358" s="19"/>
      <c r="AL2358" s="19"/>
    </row>
    <row r="2359" spans="1:38" s="11" customFormat="1" x14ac:dyDescent="0.25">
      <c r="A2359" s="3"/>
      <c r="F2359" s="19"/>
      <c r="G2359" s="19"/>
      <c r="N2359" s="19"/>
      <c r="P2359" s="19"/>
      <c r="AL2359" s="19"/>
    </row>
    <row r="2360" spans="1:38" s="11" customFormat="1" x14ac:dyDescent="0.25">
      <c r="A2360" s="3"/>
      <c r="F2360" s="19"/>
      <c r="G2360" s="19"/>
      <c r="N2360" s="19"/>
      <c r="P2360" s="19"/>
      <c r="AL2360" s="19"/>
    </row>
    <row r="2361" spans="1:38" s="11" customFormat="1" x14ac:dyDescent="0.25">
      <c r="A2361" s="3"/>
      <c r="F2361" s="19"/>
      <c r="G2361" s="19"/>
      <c r="N2361" s="19"/>
      <c r="P2361" s="19"/>
      <c r="AL2361" s="19"/>
    </row>
    <row r="2362" spans="1:38" s="11" customFormat="1" x14ac:dyDescent="0.25">
      <c r="A2362" s="3"/>
      <c r="F2362" s="19"/>
      <c r="G2362" s="19"/>
      <c r="N2362" s="19"/>
      <c r="P2362" s="19"/>
      <c r="AL2362" s="19"/>
    </row>
    <row r="2363" spans="1:38" s="11" customFormat="1" x14ac:dyDescent="0.25">
      <c r="A2363" s="3"/>
      <c r="F2363" s="19"/>
      <c r="G2363" s="19"/>
      <c r="N2363" s="19"/>
      <c r="P2363" s="19"/>
      <c r="AL2363" s="19"/>
    </row>
    <row r="2364" spans="1:38" s="11" customFormat="1" x14ac:dyDescent="0.25">
      <c r="A2364" s="3"/>
      <c r="F2364" s="19"/>
      <c r="G2364" s="19"/>
      <c r="N2364" s="19"/>
      <c r="P2364" s="19"/>
      <c r="AL2364" s="19"/>
    </row>
    <row r="2365" spans="1:38" s="11" customFormat="1" x14ac:dyDescent="0.25">
      <c r="A2365" s="3"/>
      <c r="F2365" s="19"/>
      <c r="G2365" s="19"/>
      <c r="N2365" s="19"/>
      <c r="P2365" s="19"/>
      <c r="AL2365" s="19"/>
    </row>
    <row r="2366" spans="1:38" s="11" customFormat="1" x14ac:dyDescent="0.25">
      <c r="A2366" s="3"/>
      <c r="F2366" s="19"/>
      <c r="G2366" s="19"/>
      <c r="N2366" s="19"/>
      <c r="P2366" s="19"/>
      <c r="AL2366" s="19"/>
    </row>
    <row r="2367" spans="1:38" s="11" customFormat="1" x14ac:dyDescent="0.25">
      <c r="A2367" s="3"/>
      <c r="F2367" s="19"/>
      <c r="G2367" s="19"/>
      <c r="N2367" s="19"/>
      <c r="P2367" s="19"/>
      <c r="AL2367" s="19"/>
    </row>
    <row r="2368" spans="1:38" s="11" customFormat="1" x14ac:dyDescent="0.25">
      <c r="A2368" s="3"/>
      <c r="F2368" s="19"/>
      <c r="G2368" s="19"/>
      <c r="N2368" s="19"/>
      <c r="P2368" s="19"/>
      <c r="AL2368" s="19"/>
    </row>
    <row r="2369" spans="1:38" s="11" customFormat="1" x14ac:dyDescent="0.25">
      <c r="A2369" s="3"/>
      <c r="F2369" s="19"/>
      <c r="G2369" s="19"/>
      <c r="N2369" s="19"/>
      <c r="P2369" s="19"/>
      <c r="AL2369" s="19"/>
    </row>
    <row r="2370" spans="1:38" s="11" customFormat="1" x14ac:dyDescent="0.25">
      <c r="A2370" s="3"/>
      <c r="F2370" s="19"/>
      <c r="G2370" s="19"/>
      <c r="N2370" s="19"/>
      <c r="P2370" s="19"/>
      <c r="AL2370" s="19"/>
    </row>
    <row r="2371" spans="1:38" s="11" customFormat="1" x14ac:dyDescent="0.25">
      <c r="A2371" s="3"/>
      <c r="F2371" s="19"/>
      <c r="G2371" s="19"/>
      <c r="N2371" s="19"/>
      <c r="P2371" s="19"/>
      <c r="AL2371" s="19"/>
    </row>
    <row r="2372" spans="1:38" s="11" customFormat="1" x14ac:dyDescent="0.25">
      <c r="A2372" s="3"/>
      <c r="F2372" s="19"/>
      <c r="G2372" s="19"/>
      <c r="N2372" s="19"/>
      <c r="P2372" s="19"/>
      <c r="AL2372" s="19"/>
    </row>
    <row r="2373" spans="1:38" s="11" customFormat="1" x14ac:dyDescent="0.25">
      <c r="A2373" s="3"/>
      <c r="F2373" s="19"/>
      <c r="G2373" s="19"/>
      <c r="N2373" s="19"/>
      <c r="P2373" s="19"/>
      <c r="AL2373" s="19"/>
    </row>
    <row r="2374" spans="1:38" s="11" customFormat="1" x14ac:dyDescent="0.25">
      <c r="A2374" s="3"/>
      <c r="F2374" s="19"/>
      <c r="G2374" s="19"/>
      <c r="N2374" s="19"/>
      <c r="P2374" s="19"/>
      <c r="AL2374" s="19"/>
    </row>
    <row r="2375" spans="1:38" s="11" customFormat="1" x14ac:dyDescent="0.25">
      <c r="A2375" s="3"/>
      <c r="F2375" s="19"/>
      <c r="G2375" s="19"/>
      <c r="N2375" s="19"/>
      <c r="P2375" s="19"/>
      <c r="AL2375" s="19"/>
    </row>
    <row r="2376" spans="1:38" s="11" customFormat="1" x14ac:dyDescent="0.25">
      <c r="A2376" s="3"/>
      <c r="F2376" s="19"/>
      <c r="G2376" s="19"/>
      <c r="N2376" s="19"/>
      <c r="P2376" s="19"/>
      <c r="AL2376" s="19"/>
    </row>
    <row r="2377" spans="1:38" s="11" customFormat="1" x14ac:dyDescent="0.25">
      <c r="A2377" s="3"/>
      <c r="F2377" s="19"/>
      <c r="G2377" s="19"/>
      <c r="N2377" s="19"/>
      <c r="P2377" s="19"/>
      <c r="AL2377" s="19"/>
    </row>
    <row r="2378" spans="1:38" s="11" customFormat="1" x14ac:dyDescent="0.25">
      <c r="A2378" s="3"/>
      <c r="F2378" s="19"/>
      <c r="G2378" s="19"/>
      <c r="N2378" s="19"/>
      <c r="P2378" s="19"/>
      <c r="AL2378" s="19"/>
    </row>
    <row r="2379" spans="1:38" s="11" customFormat="1" x14ac:dyDescent="0.25">
      <c r="A2379" s="3"/>
      <c r="F2379" s="19"/>
      <c r="G2379" s="19"/>
      <c r="N2379" s="19"/>
      <c r="P2379" s="19"/>
      <c r="AL2379" s="19"/>
    </row>
    <row r="2380" spans="1:38" s="11" customFormat="1" x14ac:dyDescent="0.25">
      <c r="A2380" s="3"/>
      <c r="F2380" s="19"/>
      <c r="G2380" s="19"/>
      <c r="N2380" s="19"/>
      <c r="P2380" s="19"/>
      <c r="AL2380" s="19"/>
    </row>
    <row r="2381" spans="1:38" s="11" customFormat="1" x14ac:dyDescent="0.25">
      <c r="A2381" s="3"/>
      <c r="F2381" s="19"/>
      <c r="G2381" s="19"/>
      <c r="N2381" s="19"/>
      <c r="P2381" s="19"/>
      <c r="AL2381" s="19"/>
    </row>
    <row r="2382" spans="1:38" s="11" customFormat="1" x14ac:dyDescent="0.25">
      <c r="A2382" s="3"/>
      <c r="F2382" s="19"/>
      <c r="G2382" s="19"/>
      <c r="N2382" s="19"/>
      <c r="P2382" s="19"/>
      <c r="AL2382" s="19"/>
    </row>
    <row r="2383" spans="1:38" s="11" customFormat="1" x14ac:dyDescent="0.25">
      <c r="A2383" s="3"/>
      <c r="F2383" s="19"/>
      <c r="G2383" s="19"/>
      <c r="N2383" s="19"/>
      <c r="P2383" s="19"/>
      <c r="AL2383" s="19"/>
    </row>
    <row r="2384" spans="1:38" s="11" customFormat="1" x14ac:dyDescent="0.25">
      <c r="A2384" s="3"/>
      <c r="F2384" s="19"/>
      <c r="G2384" s="19"/>
      <c r="N2384" s="19"/>
      <c r="P2384" s="19"/>
      <c r="AL2384" s="19"/>
    </row>
    <row r="2385" spans="1:38" s="11" customFormat="1" x14ac:dyDescent="0.25">
      <c r="A2385" s="3"/>
      <c r="F2385" s="19"/>
      <c r="G2385" s="19"/>
      <c r="N2385" s="19"/>
      <c r="P2385" s="19"/>
      <c r="AL2385" s="19"/>
    </row>
    <row r="2386" spans="1:38" s="11" customFormat="1" x14ac:dyDescent="0.25">
      <c r="A2386" s="3"/>
      <c r="F2386" s="19"/>
      <c r="G2386" s="19"/>
      <c r="N2386" s="19"/>
      <c r="P2386" s="19"/>
      <c r="AL2386" s="19"/>
    </row>
    <row r="2387" spans="1:38" s="11" customFormat="1" x14ac:dyDescent="0.25">
      <c r="A2387" s="3"/>
      <c r="F2387" s="19"/>
      <c r="G2387" s="19"/>
      <c r="N2387" s="19"/>
      <c r="P2387" s="19"/>
      <c r="AL2387" s="19"/>
    </row>
    <row r="2388" spans="1:38" s="11" customFormat="1" x14ac:dyDescent="0.25">
      <c r="A2388" s="3"/>
      <c r="F2388" s="19"/>
      <c r="G2388" s="19"/>
      <c r="N2388" s="19"/>
      <c r="P2388" s="19"/>
      <c r="AL2388" s="19"/>
    </row>
    <row r="2389" spans="1:38" s="11" customFormat="1" x14ac:dyDescent="0.25">
      <c r="A2389" s="3"/>
      <c r="F2389" s="19"/>
      <c r="G2389" s="19"/>
      <c r="N2389" s="19"/>
      <c r="P2389" s="19"/>
      <c r="AL2389" s="19"/>
    </row>
    <row r="2390" spans="1:38" s="11" customFormat="1" x14ac:dyDescent="0.25">
      <c r="A2390" s="3"/>
      <c r="F2390" s="19"/>
      <c r="G2390" s="19"/>
      <c r="N2390" s="19"/>
      <c r="P2390" s="19"/>
      <c r="AL2390" s="19"/>
    </row>
    <row r="2391" spans="1:38" s="11" customFormat="1" x14ac:dyDescent="0.25">
      <c r="A2391" s="3"/>
      <c r="F2391" s="19"/>
      <c r="G2391" s="19"/>
      <c r="N2391" s="19"/>
      <c r="P2391" s="19"/>
      <c r="AL2391" s="19"/>
    </row>
    <row r="2392" spans="1:38" s="11" customFormat="1" x14ac:dyDescent="0.25">
      <c r="A2392" s="3"/>
      <c r="F2392" s="19"/>
      <c r="G2392" s="19"/>
      <c r="N2392" s="19"/>
      <c r="P2392" s="19"/>
      <c r="AL2392" s="19"/>
    </row>
    <row r="2393" spans="1:38" s="11" customFormat="1" x14ac:dyDescent="0.25">
      <c r="A2393" s="3"/>
      <c r="F2393" s="19"/>
      <c r="G2393" s="19"/>
      <c r="N2393" s="19"/>
      <c r="P2393" s="19"/>
      <c r="AL2393" s="19"/>
    </row>
    <row r="2394" spans="1:38" s="11" customFormat="1" x14ac:dyDescent="0.25">
      <c r="A2394" s="3"/>
      <c r="F2394" s="19"/>
      <c r="G2394" s="19"/>
      <c r="N2394" s="19"/>
      <c r="P2394" s="19"/>
      <c r="AL2394" s="19"/>
    </row>
    <row r="2395" spans="1:38" s="11" customFormat="1" x14ac:dyDescent="0.25">
      <c r="A2395" s="3"/>
      <c r="F2395" s="19"/>
      <c r="G2395" s="19"/>
      <c r="N2395" s="19"/>
      <c r="P2395" s="19"/>
      <c r="AL2395" s="19"/>
    </row>
    <row r="2396" spans="1:38" s="11" customFormat="1" x14ac:dyDescent="0.25">
      <c r="A2396" s="3"/>
      <c r="F2396" s="19"/>
      <c r="G2396" s="19"/>
      <c r="N2396" s="19"/>
      <c r="P2396" s="19"/>
      <c r="AL2396" s="19"/>
    </row>
    <row r="2397" spans="1:38" s="11" customFormat="1" x14ac:dyDescent="0.25">
      <c r="A2397" s="3"/>
      <c r="F2397" s="19"/>
      <c r="G2397" s="19"/>
      <c r="N2397" s="19"/>
      <c r="P2397" s="19"/>
      <c r="AL2397" s="19"/>
    </row>
    <row r="2398" spans="1:38" s="11" customFormat="1" x14ac:dyDescent="0.25">
      <c r="A2398" s="3"/>
      <c r="F2398" s="19"/>
      <c r="G2398" s="19"/>
      <c r="N2398" s="19"/>
      <c r="P2398" s="19"/>
      <c r="AL2398" s="19"/>
    </row>
    <row r="2399" spans="1:38" s="11" customFormat="1" x14ac:dyDescent="0.25">
      <c r="A2399" s="3"/>
      <c r="F2399" s="19"/>
      <c r="G2399" s="19"/>
      <c r="N2399" s="19"/>
      <c r="P2399" s="19"/>
      <c r="AL2399" s="19"/>
    </row>
    <row r="2400" spans="1:38" s="11" customFormat="1" x14ac:dyDescent="0.25">
      <c r="A2400" s="3"/>
      <c r="F2400" s="19"/>
      <c r="G2400" s="19"/>
      <c r="N2400" s="19"/>
      <c r="P2400" s="19"/>
      <c r="AL2400" s="19"/>
    </row>
    <row r="2401" spans="1:38" s="11" customFormat="1" x14ac:dyDescent="0.25">
      <c r="A2401" s="3"/>
      <c r="F2401" s="19"/>
      <c r="G2401" s="19"/>
      <c r="N2401" s="19"/>
      <c r="P2401" s="19"/>
      <c r="AL2401" s="19"/>
    </row>
    <row r="2402" spans="1:38" s="11" customFormat="1" x14ac:dyDescent="0.25">
      <c r="A2402" s="3"/>
      <c r="F2402" s="19"/>
      <c r="G2402" s="19"/>
      <c r="N2402" s="19"/>
      <c r="P2402" s="19"/>
      <c r="AL2402" s="19"/>
    </row>
    <row r="2403" spans="1:38" s="11" customFormat="1" x14ac:dyDescent="0.25">
      <c r="A2403" s="3"/>
      <c r="F2403" s="19"/>
      <c r="G2403" s="19"/>
      <c r="N2403" s="19"/>
      <c r="P2403" s="19"/>
      <c r="AL2403" s="19"/>
    </row>
    <row r="2404" spans="1:38" s="11" customFormat="1" x14ac:dyDescent="0.25">
      <c r="A2404" s="3"/>
      <c r="F2404" s="19"/>
      <c r="G2404" s="19"/>
      <c r="N2404" s="19"/>
      <c r="P2404" s="19"/>
      <c r="AL2404" s="19"/>
    </row>
    <row r="2405" spans="1:38" s="11" customFormat="1" x14ac:dyDescent="0.25">
      <c r="A2405" s="3"/>
      <c r="F2405" s="19"/>
      <c r="G2405" s="19"/>
      <c r="N2405" s="19"/>
      <c r="P2405" s="19"/>
      <c r="AL2405" s="19"/>
    </row>
    <row r="2406" spans="1:38" s="11" customFormat="1" x14ac:dyDescent="0.25">
      <c r="A2406" s="3"/>
      <c r="F2406" s="19"/>
      <c r="G2406" s="19"/>
      <c r="N2406" s="19"/>
      <c r="P2406" s="19"/>
      <c r="AL2406" s="19"/>
    </row>
    <row r="2407" spans="1:38" s="11" customFormat="1" x14ac:dyDescent="0.25">
      <c r="A2407" s="3"/>
      <c r="F2407" s="19"/>
      <c r="G2407" s="19"/>
      <c r="N2407" s="19"/>
      <c r="P2407" s="19"/>
      <c r="AL2407" s="19"/>
    </row>
    <row r="2408" spans="1:38" s="11" customFormat="1" x14ac:dyDescent="0.25">
      <c r="A2408" s="3"/>
      <c r="F2408" s="19"/>
      <c r="G2408" s="19"/>
      <c r="N2408" s="19"/>
      <c r="P2408" s="19"/>
      <c r="AL2408" s="19"/>
    </row>
    <row r="2409" spans="1:38" s="11" customFormat="1" x14ac:dyDescent="0.25">
      <c r="A2409" s="3"/>
      <c r="F2409" s="19"/>
      <c r="G2409" s="19"/>
      <c r="N2409" s="19"/>
      <c r="P2409" s="19"/>
      <c r="AL2409" s="19"/>
    </row>
    <row r="2410" spans="1:38" s="11" customFormat="1" x14ac:dyDescent="0.25">
      <c r="A2410" s="3"/>
      <c r="F2410" s="19"/>
      <c r="G2410" s="19"/>
      <c r="N2410" s="19"/>
      <c r="P2410" s="19"/>
      <c r="AL2410" s="19"/>
    </row>
    <row r="2411" spans="1:38" s="11" customFormat="1" x14ac:dyDescent="0.25">
      <c r="A2411" s="3"/>
      <c r="F2411" s="19"/>
      <c r="G2411" s="19"/>
      <c r="N2411" s="19"/>
      <c r="P2411" s="19"/>
      <c r="AL2411" s="19"/>
    </row>
    <row r="2412" spans="1:38" s="11" customFormat="1" x14ac:dyDescent="0.25">
      <c r="A2412" s="3"/>
      <c r="F2412" s="19"/>
      <c r="G2412" s="19"/>
      <c r="N2412" s="19"/>
      <c r="P2412" s="19"/>
      <c r="AL2412" s="19"/>
    </row>
    <row r="2413" spans="1:38" s="11" customFormat="1" x14ac:dyDescent="0.25">
      <c r="A2413" s="3"/>
      <c r="F2413" s="19"/>
      <c r="G2413" s="19"/>
      <c r="N2413" s="19"/>
      <c r="P2413" s="19"/>
      <c r="AL2413" s="19"/>
    </row>
    <row r="2414" spans="1:38" s="11" customFormat="1" x14ac:dyDescent="0.25">
      <c r="A2414" s="3"/>
      <c r="F2414" s="19"/>
      <c r="G2414" s="19"/>
      <c r="N2414" s="19"/>
      <c r="P2414" s="19"/>
      <c r="AL2414" s="19"/>
    </row>
    <row r="2415" spans="1:38" s="11" customFormat="1" x14ac:dyDescent="0.25">
      <c r="A2415" s="3"/>
      <c r="F2415" s="19"/>
      <c r="G2415" s="19"/>
      <c r="N2415" s="19"/>
      <c r="P2415" s="19"/>
      <c r="AL2415" s="19"/>
    </row>
    <row r="2416" spans="1:38" s="11" customFormat="1" x14ac:dyDescent="0.25">
      <c r="A2416" s="3"/>
      <c r="F2416" s="19"/>
      <c r="G2416" s="19"/>
      <c r="N2416" s="19"/>
      <c r="P2416" s="19"/>
      <c r="AL2416" s="19"/>
    </row>
    <row r="2417" spans="1:38" s="11" customFormat="1" x14ac:dyDescent="0.25">
      <c r="A2417" s="3"/>
      <c r="F2417" s="19"/>
      <c r="G2417" s="19"/>
      <c r="N2417" s="19"/>
      <c r="P2417" s="19"/>
      <c r="AL2417" s="19"/>
    </row>
    <row r="2418" spans="1:38" s="11" customFormat="1" x14ac:dyDescent="0.25">
      <c r="A2418" s="3"/>
      <c r="F2418" s="19"/>
      <c r="G2418" s="19"/>
      <c r="N2418" s="19"/>
      <c r="P2418" s="19"/>
      <c r="AL2418" s="19"/>
    </row>
    <row r="2419" spans="1:38" s="11" customFormat="1" x14ac:dyDescent="0.25">
      <c r="A2419" s="3"/>
      <c r="F2419" s="19"/>
      <c r="G2419" s="19"/>
      <c r="N2419" s="19"/>
      <c r="P2419" s="19"/>
      <c r="AL2419" s="19"/>
    </row>
    <row r="2420" spans="1:38" s="11" customFormat="1" x14ac:dyDescent="0.25">
      <c r="A2420" s="3"/>
      <c r="F2420" s="19"/>
      <c r="G2420" s="19"/>
      <c r="N2420" s="19"/>
      <c r="P2420" s="19"/>
      <c r="AL2420" s="19"/>
    </row>
    <row r="2421" spans="1:38" s="11" customFormat="1" x14ac:dyDescent="0.25">
      <c r="A2421" s="3"/>
      <c r="F2421" s="19"/>
      <c r="G2421" s="19"/>
      <c r="N2421" s="19"/>
      <c r="P2421" s="19"/>
      <c r="AL2421" s="19"/>
    </row>
    <row r="2422" spans="1:38" s="11" customFormat="1" x14ac:dyDescent="0.25">
      <c r="A2422" s="3"/>
      <c r="F2422" s="19"/>
      <c r="G2422" s="19"/>
      <c r="N2422" s="19"/>
      <c r="P2422" s="19"/>
      <c r="AL2422" s="19"/>
    </row>
    <row r="2423" spans="1:38" s="11" customFormat="1" x14ac:dyDescent="0.25">
      <c r="A2423" s="3"/>
      <c r="F2423" s="19"/>
      <c r="G2423" s="19"/>
      <c r="N2423" s="19"/>
      <c r="P2423" s="19"/>
      <c r="AL2423" s="19"/>
    </row>
    <row r="2424" spans="1:38" s="11" customFormat="1" x14ac:dyDescent="0.25">
      <c r="A2424" s="3"/>
      <c r="F2424" s="19"/>
      <c r="G2424" s="19"/>
      <c r="N2424" s="19"/>
      <c r="P2424" s="19"/>
      <c r="AL2424" s="19"/>
    </row>
    <row r="2425" spans="1:38" s="11" customFormat="1" x14ac:dyDescent="0.25">
      <c r="A2425" s="3"/>
      <c r="F2425" s="19"/>
      <c r="G2425" s="19"/>
      <c r="N2425" s="19"/>
      <c r="P2425" s="19"/>
      <c r="AL2425" s="19"/>
    </row>
    <row r="2426" spans="1:38" s="11" customFormat="1" x14ac:dyDescent="0.25">
      <c r="A2426" s="3"/>
      <c r="F2426" s="19"/>
      <c r="G2426" s="19"/>
      <c r="N2426" s="19"/>
      <c r="P2426" s="19"/>
      <c r="AL2426" s="19"/>
    </row>
    <row r="2427" spans="1:38" s="11" customFormat="1" x14ac:dyDescent="0.25">
      <c r="A2427" s="3"/>
      <c r="F2427" s="19"/>
      <c r="G2427" s="19"/>
      <c r="N2427" s="19"/>
      <c r="P2427" s="19"/>
      <c r="AL2427" s="19"/>
    </row>
    <row r="2428" spans="1:38" s="11" customFormat="1" x14ac:dyDescent="0.25">
      <c r="A2428" s="3"/>
      <c r="F2428" s="19"/>
      <c r="G2428" s="19"/>
      <c r="N2428" s="19"/>
      <c r="P2428" s="19"/>
      <c r="AL2428" s="19"/>
    </row>
    <row r="2429" spans="1:38" s="11" customFormat="1" x14ac:dyDescent="0.25">
      <c r="A2429" s="3"/>
      <c r="F2429" s="19"/>
      <c r="G2429" s="19"/>
      <c r="N2429" s="19"/>
      <c r="P2429" s="19"/>
      <c r="AL2429" s="19"/>
    </row>
    <row r="2430" spans="1:38" s="11" customFormat="1" x14ac:dyDescent="0.25">
      <c r="A2430" s="3"/>
      <c r="F2430" s="19"/>
      <c r="G2430" s="19"/>
      <c r="N2430" s="19"/>
      <c r="P2430" s="19"/>
      <c r="AL2430" s="19"/>
    </row>
    <row r="2431" spans="1:38" s="11" customFormat="1" x14ac:dyDescent="0.25">
      <c r="A2431" s="3"/>
      <c r="F2431" s="19"/>
      <c r="G2431" s="19"/>
      <c r="N2431" s="19"/>
      <c r="P2431" s="19"/>
      <c r="AL2431" s="19"/>
    </row>
    <row r="2432" spans="1:38" s="11" customFormat="1" x14ac:dyDescent="0.25">
      <c r="A2432" s="3"/>
      <c r="F2432" s="19"/>
      <c r="G2432" s="19"/>
      <c r="N2432" s="19"/>
      <c r="P2432" s="19"/>
      <c r="AL2432" s="19"/>
    </row>
    <row r="2433" spans="1:38" s="11" customFormat="1" x14ac:dyDescent="0.25">
      <c r="A2433" s="3"/>
      <c r="F2433" s="19"/>
      <c r="G2433" s="19"/>
      <c r="N2433" s="19"/>
      <c r="P2433" s="19"/>
      <c r="AL2433" s="19"/>
    </row>
    <row r="2434" spans="1:38" s="11" customFormat="1" x14ac:dyDescent="0.25">
      <c r="A2434" s="3"/>
      <c r="F2434" s="19"/>
      <c r="G2434" s="19"/>
      <c r="N2434" s="19"/>
      <c r="P2434" s="19"/>
      <c r="AL2434" s="19"/>
    </row>
    <row r="2435" spans="1:38" s="11" customFormat="1" x14ac:dyDescent="0.25">
      <c r="A2435" s="3"/>
      <c r="F2435" s="19"/>
      <c r="G2435" s="19"/>
      <c r="N2435" s="19"/>
      <c r="P2435" s="19"/>
      <c r="AL2435" s="19"/>
    </row>
    <row r="2436" spans="1:38" s="11" customFormat="1" x14ac:dyDescent="0.25">
      <c r="A2436" s="3"/>
      <c r="F2436" s="19"/>
      <c r="G2436" s="19"/>
      <c r="N2436" s="19"/>
      <c r="P2436" s="19"/>
      <c r="AL2436" s="19"/>
    </row>
    <row r="2437" spans="1:38" s="11" customFormat="1" x14ac:dyDescent="0.25">
      <c r="A2437" s="3"/>
      <c r="F2437" s="19"/>
      <c r="G2437" s="19"/>
      <c r="N2437" s="19"/>
      <c r="P2437" s="19"/>
      <c r="AL2437" s="19"/>
    </row>
    <row r="2438" spans="1:38" s="11" customFormat="1" x14ac:dyDescent="0.25">
      <c r="A2438" s="3"/>
      <c r="F2438" s="19"/>
      <c r="G2438" s="19"/>
      <c r="N2438" s="19"/>
      <c r="P2438" s="19"/>
      <c r="AL2438" s="19"/>
    </row>
    <row r="2439" spans="1:38" s="11" customFormat="1" x14ac:dyDescent="0.25">
      <c r="A2439" s="3"/>
      <c r="F2439" s="19"/>
      <c r="G2439" s="19"/>
      <c r="N2439" s="19"/>
      <c r="P2439" s="19"/>
      <c r="AL2439" s="19"/>
    </row>
    <row r="2440" spans="1:38" s="11" customFormat="1" x14ac:dyDescent="0.25">
      <c r="A2440" s="3"/>
      <c r="F2440" s="19"/>
      <c r="G2440" s="19"/>
      <c r="N2440" s="19"/>
      <c r="P2440" s="19"/>
      <c r="AL2440" s="19"/>
    </row>
    <row r="2441" spans="1:38" s="11" customFormat="1" x14ac:dyDescent="0.25">
      <c r="A2441" s="3"/>
      <c r="F2441" s="19"/>
      <c r="G2441" s="19"/>
      <c r="N2441" s="19"/>
      <c r="P2441" s="19"/>
      <c r="AL2441" s="19"/>
    </row>
    <row r="2442" spans="1:38" s="11" customFormat="1" x14ac:dyDescent="0.25">
      <c r="A2442" s="3"/>
      <c r="F2442" s="19"/>
      <c r="G2442" s="19"/>
      <c r="N2442" s="19"/>
      <c r="P2442" s="19"/>
      <c r="AL2442" s="19"/>
    </row>
    <row r="2443" spans="1:38" s="11" customFormat="1" x14ac:dyDescent="0.25">
      <c r="A2443" s="3"/>
      <c r="F2443" s="19"/>
      <c r="G2443" s="19"/>
      <c r="N2443" s="19"/>
      <c r="P2443" s="19"/>
      <c r="AL2443" s="19"/>
    </row>
    <row r="2444" spans="1:38" s="11" customFormat="1" x14ac:dyDescent="0.25">
      <c r="A2444" s="3"/>
      <c r="F2444" s="19"/>
      <c r="G2444" s="19"/>
      <c r="N2444" s="19"/>
      <c r="P2444" s="19"/>
      <c r="AL2444" s="19"/>
    </row>
    <row r="2445" spans="1:38" s="11" customFormat="1" x14ac:dyDescent="0.25">
      <c r="A2445" s="3"/>
      <c r="F2445" s="19"/>
      <c r="G2445" s="19"/>
      <c r="N2445" s="19"/>
      <c r="P2445" s="19"/>
      <c r="AL2445" s="19"/>
    </row>
    <row r="2446" spans="1:38" s="11" customFormat="1" x14ac:dyDescent="0.25">
      <c r="A2446" s="3"/>
      <c r="F2446" s="19"/>
      <c r="G2446" s="19"/>
      <c r="N2446" s="19"/>
      <c r="P2446" s="19"/>
      <c r="AL2446" s="19"/>
    </row>
    <row r="2447" spans="1:38" s="11" customFormat="1" x14ac:dyDescent="0.25">
      <c r="A2447" s="3"/>
      <c r="F2447" s="19"/>
      <c r="G2447" s="19"/>
      <c r="N2447" s="19"/>
      <c r="P2447" s="19"/>
      <c r="AL2447" s="19"/>
    </row>
    <row r="2448" spans="1:38" s="11" customFormat="1" x14ac:dyDescent="0.25">
      <c r="A2448" s="3"/>
      <c r="F2448" s="19"/>
      <c r="G2448" s="19"/>
      <c r="N2448" s="19"/>
      <c r="P2448" s="19"/>
      <c r="AL2448" s="19"/>
    </row>
    <row r="2449" spans="1:38" s="11" customFormat="1" x14ac:dyDescent="0.25">
      <c r="A2449" s="3"/>
      <c r="F2449" s="19"/>
      <c r="G2449" s="19"/>
      <c r="N2449" s="19"/>
      <c r="P2449" s="19"/>
      <c r="AL2449" s="19"/>
    </row>
    <row r="2450" spans="1:38" s="11" customFormat="1" x14ac:dyDescent="0.25">
      <c r="A2450" s="3"/>
      <c r="F2450" s="19"/>
      <c r="G2450" s="19"/>
      <c r="N2450" s="19"/>
      <c r="P2450" s="19"/>
      <c r="AL2450" s="19"/>
    </row>
    <row r="2451" spans="1:38" s="11" customFormat="1" x14ac:dyDescent="0.25">
      <c r="A2451" s="3"/>
      <c r="F2451" s="19"/>
      <c r="G2451" s="19"/>
      <c r="N2451" s="19"/>
      <c r="P2451" s="19"/>
      <c r="AL2451" s="19"/>
    </row>
    <row r="2452" spans="1:38" s="11" customFormat="1" x14ac:dyDescent="0.25">
      <c r="A2452" s="3"/>
      <c r="F2452" s="19"/>
      <c r="G2452" s="19"/>
      <c r="N2452" s="19"/>
      <c r="P2452" s="19"/>
      <c r="AL2452" s="19"/>
    </row>
    <row r="2453" spans="1:38" s="11" customFormat="1" x14ac:dyDescent="0.25">
      <c r="A2453" s="3"/>
      <c r="F2453" s="19"/>
      <c r="G2453" s="19"/>
      <c r="N2453" s="19"/>
      <c r="P2453" s="19"/>
      <c r="AL2453" s="19"/>
    </row>
    <row r="2454" spans="1:38" s="11" customFormat="1" x14ac:dyDescent="0.25">
      <c r="A2454" s="3"/>
      <c r="F2454" s="19"/>
      <c r="G2454" s="19"/>
      <c r="N2454" s="19"/>
      <c r="P2454" s="19"/>
      <c r="AL2454" s="19"/>
    </row>
    <row r="2455" spans="1:38" s="11" customFormat="1" x14ac:dyDescent="0.25">
      <c r="A2455" s="3"/>
      <c r="F2455" s="19"/>
      <c r="G2455" s="19"/>
      <c r="N2455" s="19"/>
      <c r="P2455" s="19"/>
      <c r="AL2455" s="19"/>
    </row>
    <row r="2456" spans="1:38" s="11" customFormat="1" x14ac:dyDescent="0.25">
      <c r="A2456" s="3"/>
      <c r="F2456" s="19"/>
      <c r="G2456" s="19"/>
      <c r="N2456" s="19"/>
      <c r="P2456" s="19"/>
      <c r="AL2456" s="19"/>
    </row>
    <row r="2457" spans="1:38" s="11" customFormat="1" x14ac:dyDescent="0.25">
      <c r="A2457" s="3"/>
      <c r="F2457" s="19"/>
      <c r="G2457" s="19"/>
      <c r="N2457" s="19"/>
      <c r="P2457" s="19"/>
      <c r="AL2457" s="19"/>
    </row>
    <row r="2458" spans="1:38" s="11" customFormat="1" x14ac:dyDescent="0.25">
      <c r="A2458" s="3"/>
      <c r="F2458" s="19"/>
      <c r="G2458" s="19"/>
      <c r="N2458" s="19"/>
      <c r="P2458" s="19"/>
      <c r="AL2458" s="19"/>
    </row>
    <row r="2459" spans="1:38" s="11" customFormat="1" x14ac:dyDescent="0.25">
      <c r="A2459" s="3"/>
      <c r="F2459" s="19"/>
      <c r="G2459" s="19"/>
      <c r="N2459" s="19"/>
      <c r="P2459" s="19"/>
      <c r="AL2459" s="19"/>
    </row>
    <row r="2460" spans="1:38" s="11" customFormat="1" x14ac:dyDescent="0.25">
      <c r="A2460" s="3"/>
      <c r="F2460" s="19"/>
      <c r="G2460" s="19"/>
      <c r="N2460" s="19"/>
      <c r="P2460" s="19"/>
      <c r="AL2460" s="19"/>
    </row>
    <row r="2461" spans="1:38" s="11" customFormat="1" x14ac:dyDescent="0.25">
      <c r="A2461" s="3"/>
      <c r="F2461" s="19"/>
      <c r="G2461" s="19"/>
      <c r="N2461" s="19"/>
      <c r="P2461" s="19"/>
      <c r="AL2461" s="19"/>
    </row>
    <row r="2462" spans="1:38" s="11" customFormat="1" x14ac:dyDescent="0.25">
      <c r="A2462" s="3"/>
      <c r="F2462" s="19"/>
      <c r="G2462" s="19"/>
      <c r="N2462" s="19"/>
      <c r="P2462" s="19"/>
      <c r="AL2462" s="19"/>
    </row>
    <row r="2463" spans="1:38" s="11" customFormat="1" x14ac:dyDescent="0.25">
      <c r="A2463" s="3"/>
      <c r="F2463" s="19"/>
      <c r="G2463" s="19"/>
      <c r="N2463" s="19"/>
      <c r="P2463" s="19"/>
      <c r="AL2463" s="19"/>
    </row>
    <row r="2464" spans="1:38" s="11" customFormat="1" x14ac:dyDescent="0.25">
      <c r="A2464" s="3"/>
      <c r="F2464" s="19"/>
      <c r="G2464" s="19"/>
      <c r="N2464" s="19"/>
      <c r="P2464" s="19"/>
      <c r="AL2464" s="19"/>
    </row>
    <row r="2465" spans="1:38" s="11" customFormat="1" x14ac:dyDescent="0.25">
      <c r="A2465" s="3"/>
      <c r="F2465" s="19"/>
      <c r="G2465" s="19"/>
      <c r="N2465" s="19"/>
      <c r="P2465" s="19"/>
      <c r="AL2465" s="19"/>
    </row>
    <row r="2466" spans="1:38" s="11" customFormat="1" x14ac:dyDescent="0.25">
      <c r="A2466" s="3"/>
      <c r="F2466" s="19"/>
      <c r="G2466" s="19"/>
      <c r="N2466" s="19"/>
      <c r="P2466" s="19"/>
      <c r="AL2466" s="19"/>
    </row>
    <row r="2467" spans="1:38" s="11" customFormat="1" x14ac:dyDescent="0.25">
      <c r="A2467" s="3"/>
      <c r="F2467" s="19"/>
      <c r="G2467" s="19"/>
      <c r="N2467" s="19"/>
      <c r="P2467" s="19"/>
      <c r="AL2467" s="19"/>
    </row>
    <row r="2468" spans="1:38" s="11" customFormat="1" x14ac:dyDescent="0.25">
      <c r="A2468" s="3"/>
      <c r="F2468" s="19"/>
      <c r="G2468" s="19"/>
      <c r="N2468" s="19"/>
      <c r="P2468" s="19"/>
      <c r="AL2468" s="19"/>
    </row>
    <row r="2469" spans="1:38" s="11" customFormat="1" x14ac:dyDescent="0.25">
      <c r="A2469" s="3"/>
      <c r="F2469" s="19"/>
      <c r="G2469" s="19"/>
      <c r="N2469" s="19"/>
      <c r="P2469" s="19"/>
      <c r="AL2469" s="19"/>
    </row>
    <row r="2470" spans="1:38" s="11" customFormat="1" x14ac:dyDescent="0.25">
      <c r="A2470" s="3"/>
      <c r="F2470" s="19"/>
      <c r="G2470" s="19"/>
      <c r="N2470" s="19"/>
      <c r="P2470" s="19"/>
      <c r="AL2470" s="19"/>
    </row>
    <row r="2471" spans="1:38" s="11" customFormat="1" x14ac:dyDescent="0.25">
      <c r="A2471" s="3"/>
      <c r="F2471" s="19"/>
      <c r="G2471" s="19"/>
      <c r="N2471" s="19"/>
      <c r="P2471" s="19"/>
      <c r="AL2471" s="19"/>
    </row>
    <row r="2472" spans="1:38" s="11" customFormat="1" x14ac:dyDescent="0.25">
      <c r="A2472" s="3"/>
      <c r="F2472" s="19"/>
      <c r="G2472" s="19"/>
      <c r="N2472" s="19"/>
      <c r="P2472" s="19"/>
      <c r="AL2472" s="19"/>
    </row>
    <row r="2473" spans="1:38" s="11" customFormat="1" x14ac:dyDescent="0.25">
      <c r="A2473" s="3"/>
      <c r="F2473" s="19"/>
      <c r="G2473" s="19"/>
      <c r="N2473" s="19"/>
      <c r="P2473" s="19"/>
      <c r="AL2473" s="19"/>
    </row>
    <row r="2474" spans="1:38" s="11" customFormat="1" x14ac:dyDescent="0.25">
      <c r="A2474" s="3"/>
      <c r="F2474" s="19"/>
      <c r="G2474" s="19"/>
      <c r="N2474" s="19"/>
      <c r="P2474" s="19"/>
      <c r="AL2474" s="19"/>
    </row>
    <row r="2475" spans="1:38" s="11" customFormat="1" x14ac:dyDescent="0.25">
      <c r="A2475" s="3"/>
      <c r="F2475" s="19"/>
      <c r="G2475" s="19"/>
      <c r="N2475" s="19"/>
      <c r="P2475" s="19"/>
      <c r="AL2475" s="19"/>
    </row>
    <row r="2476" spans="1:38" s="11" customFormat="1" x14ac:dyDescent="0.25">
      <c r="A2476" s="3"/>
      <c r="F2476" s="19"/>
      <c r="G2476" s="19"/>
      <c r="N2476" s="19"/>
      <c r="P2476" s="19"/>
      <c r="AL2476" s="19"/>
    </row>
    <row r="2477" spans="1:38" s="11" customFormat="1" x14ac:dyDescent="0.25">
      <c r="A2477" s="3"/>
      <c r="F2477" s="19"/>
      <c r="G2477" s="19"/>
      <c r="N2477" s="19"/>
      <c r="P2477" s="19"/>
      <c r="AL2477" s="19"/>
    </row>
    <row r="2478" spans="1:38" s="11" customFormat="1" x14ac:dyDescent="0.25">
      <c r="A2478" s="3"/>
      <c r="F2478" s="19"/>
      <c r="G2478" s="19"/>
      <c r="N2478" s="19"/>
      <c r="P2478" s="19"/>
      <c r="AL2478" s="19"/>
    </row>
    <row r="2479" spans="1:38" s="11" customFormat="1" x14ac:dyDescent="0.25">
      <c r="A2479" s="3"/>
      <c r="F2479" s="19"/>
      <c r="G2479" s="19"/>
      <c r="N2479" s="19"/>
      <c r="P2479" s="19"/>
      <c r="AL2479" s="19"/>
    </row>
    <row r="2480" spans="1:38" s="11" customFormat="1" x14ac:dyDescent="0.25">
      <c r="A2480" s="3"/>
      <c r="F2480" s="19"/>
      <c r="G2480" s="19"/>
      <c r="N2480" s="19"/>
      <c r="P2480" s="19"/>
      <c r="AL2480" s="19"/>
    </row>
    <row r="2481" spans="1:38" s="11" customFormat="1" x14ac:dyDescent="0.25">
      <c r="A2481" s="3"/>
      <c r="F2481" s="19"/>
      <c r="G2481" s="19"/>
      <c r="N2481" s="19"/>
      <c r="P2481" s="19"/>
      <c r="AL2481" s="19"/>
    </row>
    <row r="2482" spans="1:38" s="11" customFormat="1" x14ac:dyDescent="0.25">
      <c r="A2482" s="3"/>
      <c r="F2482" s="19"/>
      <c r="G2482" s="19"/>
      <c r="N2482" s="19"/>
      <c r="P2482" s="19"/>
      <c r="AL2482" s="19"/>
    </row>
    <row r="2483" spans="1:38" s="11" customFormat="1" x14ac:dyDescent="0.25">
      <c r="A2483" s="3"/>
      <c r="F2483" s="19"/>
      <c r="G2483" s="19"/>
      <c r="N2483" s="19"/>
      <c r="P2483" s="19"/>
      <c r="AL2483" s="19"/>
    </row>
    <row r="2484" spans="1:38" s="11" customFormat="1" x14ac:dyDescent="0.25">
      <c r="A2484" s="3"/>
      <c r="F2484" s="19"/>
      <c r="G2484" s="19"/>
      <c r="N2484" s="19"/>
      <c r="P2484" s="19"/>
      <c r="AL2484" s="19"/>
    </row>
    <row r="2485" spans="1:38" s="11" customFormat="1" x14ac:dyDescent="0.25">
      <c r="A2485" s="3"/>
      <c r="F2485" s="19"/>
      <c r="G2485" s="19"/>
      <c r="N2485" s="19"/>
      <c r="P2485" s="19"/>
      <c r="AL2485" s="19"/>
    </row>
    <row r="2486" spans="1:38" s="11" customFormat="1" x14ac:dyDescent="0.25">
      <c r="A2486" s="3"/>
      <c r="F2486" s="19"/>
      <c r="G2486" s="19"/>
      <c r="N2486" s="19"/>
      <c r="P2486" s="19"/>
      <c r="AL2486" s="19"/>
    </row>
    <row r="2487" spans="1:38" s="11" customFormat="1" x14ac:dyDescent="0.25">
      <c r="A2487" s="3"/>
      <c r="F2487" s="19"/>
      <c r="G2487" s="19"/>
      <c r="N2487" s="19"/>
      <c r="P2487" s="19"/>
      <c r="AL2487" s="19"/>
    </row>
    <row r="2488" spans="1:38" s="11" customFormat="1" x14ac:dyDescent="0.25">
      <c r="A2488" s="3"/>
      <c r="F2488" s="19"/>
      <c r="G2488" s="19"/>
      <c r="N2488" s="19"/>
      <c r="P2488" s="19"/>
      <c r="AL2488" s="19"/>
    </row>
    <row r="2489" spans="1:38" s="11" customFormat="1" x14ac:dyDescent="0.25">
      <c r="A2489" s="3"/>
      <c r="F2489" s="19"/>
      <c r="G2489" s="19"/>
      <c r="N2489" s="19"/>
      <c r="P2489" s="19"/>
      <c r="AL2489" s="19"/>
    </row>
    <row r="2490" spans="1:38" s="11" customFormat="1" x14ac:dyDescent="0.25">
      <c r="A2490" s="3"/>
      <c r="F2490" s="19"/>
      <c r="G2490" s="19"/>
      <c r="N2490" s="19"/>
      <c r="P2490" s="19"/>
      <c r="AL2490" s="19"/>
    </row>
    <row r="2491" spans="1:38" s="11" customFormat="1" x14ac:dyDescent="0.25">
      <c r="A2491" s="3"/>
      <c r="F2491" s="19"/>
      <c r="G2491" s="19"/>
      <c r="N2491" s="19"/>
      <c r="P2491" s="19"/>
      <c r="AL2491" s="19"/>
    </row>
    <row r="2492" spans="1:38" s="11" customFormat="1" x14ac:dyDescent="0.25">
      <c r="A2492" s="3"/>
      <c r="F2492" s="19"/>
      <c r="G2492" s="19"/>
      <c r="N2492" s="19"/>
      <c r="P2492" s="19"/>
      <c r="AL2492" s="19"/>
    </row>
    <row r="2493" spans="1:38" s="11" customFormat="1" x14ac:dyDescent="0.25">
      <c r="A2493" s="3"/>
      <c r="F2493" s="19"/>
      <c r="G2493" s="19"/>
      <c r="N2493" s="19"/>
      <c r="P2493" s="19"/>
      <c r="AL2493" s="19"/>
    </row>
    <row r="2494" spans="1:38" s="11" customFormat="1" x14ac:dyDescent="0.25">
      <c r="A2494" s="3"/>
      <c r="F2494" s="19"/>
      <c r="G2494" s="19"/>
      <c r="N2494" s="19"/>
      <c r="P2494" s="19"/>
      <c r="AL2494" s="19"/>
    </row>
    <row r="2495" spans="1:38" s="11" customFormat="1" x14ac:dyDescent="0.25">
      <c r="A2495" s="3"/>
      <c r="F2495" s="19"/>
      <c r="G2495" s="19"/>
      <c r="N2495" s="19"/>
      <c r="P2495" s="19"/>
      <c r="AL2495" s="19"/>
    </row>
    <row r="2496" spans="1:38" s="11" customFormat="1" x14ac:dyDescent="0.25">
      <c r="A2496" s="3"/>
      <c r="F2496" s="19"/>
      <c r="G2496" s="19"/>
      <c r="N2496" s="19"/>
      <c r="P2496" s="19"/>
      <c r="AL2496" s="19"/>
    </row>
    <row r="2497" spans="1:38" s="11" customFormat="1" x14ac:dyDescent="0.25">
      <c r="A2497" s="3"/>
      <c r="F2497" s="19"/>
      <c r="G2497" s="19"/>
      <c r="N2497" s="19"/>
      <c r="P2497" s="19"/>
      <c r="AL2497" s="19"/>
    </row>
    <row r="2498" spans="1:38" s="11" customFormat="1" x14ac:dyDescent="0.25">
      <c r="A2498" s="3"/>
      <c r="F2498" s="19"/>
      <c r="G2498" s="19"/>
      <c r="N2498" s="19"/>
      <c r="P2498" s="19"/>
      <c r="AL2498" s="19"/>
    </row>
    <row r="2499" spans="1:38" s="11" customFormat="1" x14ac:dyDescent="0.25">
      <c r="A2499" s="3"/>
      <c r="F2499" s="19"/>
      <c r="G2499" s="19"/>
      <c r="N2499" s="19"/>
      <c r="P2499" s="19"/>
      <c r="AL2499" s="19"/>
    </row>
    <row r="2500" spans="1:38" s="11" customFormat="1" x14ac:dyDescent="0.25">
      <c r="A2500" s="3"/>
      <c r="F2500" s="19"/>
      <c r="G2500" s="19"/>
      <c r="N2500" s="19"/>
      <c r="P2500" s="19"/>
      <c r="AL2500" s="19"/>
    </row>
    <row r="2501" spans="1:38" s="11" customFormat="1" x14ac:dyDescent="0.25">
      <c r="A2501" s="3"/>
      <c r="F2501" s="19"/>
      <c r="G2501" s="19"/>
      <c r="N2501" s="19"/>
      <c r="P2501" s="19"/>
      <c r="AL2501" s="19"/>
    </row>
    <row r="2502" spans="1:38" s="11" customFormat="1" x14ac:dyDescent="0.25">
      <c r="A2502" s="3"/>
      <c r="F2502" s="19"/>
      <c r="G2502" s="19"/>
      <c r="N2502" s="19"/>
      <c r="P2502" s="19"/>
      <c r="AL2502" s="19"/>
    </row>
    <row r="2503" spans="1:38" s="11" customFormat="1" x14ac:dyDescent="0.25">
      <c r="A2503" s="3"/>
      <c r="F2503" s="19"/>
      <c r="G2503" s="19"/>
      <c r="N2503" s="19"/>
      <c r="P2503" s="19"/>
      <c r="AL2503" s="19"/>
    </row>
    <row r="2504" spans="1:38" s="11" customFormat="1" x14ac:dyDescent="0.25">
      <c r="A2504" s="3"/>
      <c r="F2504" s="19"/>
      <c r="G2504" s="19"/>
      <c r="N2504" s="19"/>
      <c r="P2504" s="19"/>
      <c r="AL2504" s="19"/>
    </row>
    <row r="2505" spans="1:38" s="11" customFormat="1" x14ac:dyDescent="0.25">
      <c r="A2505" s="3"/>
      <c r="F2505" s="19"/>
      <c r="G2505" s="19"/>
      <c r="N2505" s="19"/>
      <c r="P2505" s="19"/>
      <c r="AL2505" s="19"/>
    </row>
    <row r="2506" spans="1:38" s="11" customFormat="1" x14ac:dyDescent="0.25">
      <c r="A2506" s="3"/>
      <c r="F2506" s="19"/>
      <c r="G2506" s="19"/>
      <c r="N2506" s="19"/>
      <c r="P2506" s="19"/>
      <c r="AL2506" s="19"/>
    </row>
    <row r="2507" spans="1:38" s="11" customFormat="1" x14ac:dyDescent="0.25">
      <c r="A2507" s="3"/>
      <c r="F2507" s="19"/>
      <c r="G2507" s="19"/>
      <c r="N2507" s="19"/>
      <c r="P2507" s="19"/>
      <c r="AL2507" s="19"/>
    </row>
    <row r="2508" spans="1:38" s="11" customFormat="1" x14ac:dyDescent="0.25">
      <c r="A2508" s="3"/>
      <c r="F2508" s="19"/>
      <c r="G2508" s="19"/>
      <c r="N2508" s="19"/>
      <c r="P2508" s="19"/>
      <c r="AL2508" s="19"/>
    </row>
    <row r="2509" spans="1:38" s="11" customFormat="1" x14ac:dyDescent="0.25">
      <c r="A2509" s="3"/>
      <c r="F2509" s="19"/>
      <c r="G2509" s="19"/>
      <c r="N2509" s="19"/>
      <c r="P2509" s="19"/>
      <c r="AL2509" s="19"/>
    </row>
    <row r="2510" spans="1:38" s="11" customFormat="1" x14ac:dyDescent="0.25">
      <c r="A2510" s="3"/>
      <c r="F2510" s="19"/>
      <c r="G2510" s="19"/>
      <c r="N2510" s="19"/>
      <c r="P2510" s="19"/>
      <c r="AL2510" s="19"/>
    </row>
    <row r="2511" spans="1:38" s="11" customFormat="1" x14ac:dyDescent="0.25">
      <c r="A2511" s="3"/>
      <c r="F2511" s="19"/>
      <c r="G2511" s="19"/>
      <c r="N2511" s="19"/>
      <c r="P2511" s="19"/>
      <c r="AL2511" s="19"/>
    </row>
    <row r="2512" spans="1:38" s="11" customFormat="1" x14ac:dyDescent="0.25">
      <c r="A2512" s="3"/>
      <c r="F2512" s="19"/>
      <c r="G2512" s="19"/>
      <c r="N2512" s="19"/>
      <c r="P2512" s="19"/>
      <c r="AL2512" s="19"/>
    </row>
    <row r="2513" spans="1:38" s="11" customFormat="1" x14ac:dyDescent="0.25">
      <c r="A2513" s="3"/>
      <c r="F2513" s="19"/>
      <c r="G2513" s="19"/>
      <c r="N2513" s="19"/>
      <c r="P2513" s="19"/>
      <c r="AL2513" s="19"/>
    </row>
    <row r="2514" spans="1:38" s="11" customFormat="1" x14ac:dyDescent="0.25">
      <c r="A2514" s="3"/>
      <c r="F2514" s="19"/>
      <c r="G2514" s="19"/>
      <c r="N2514" s="19"/>
      <c r="P2514" s="19"/>
      <c r="AL2514" s="19"/>
    </row>
    <row r="2515" spans="1:38" s="11" customFormat="1" x14ac:dyDescent="0.25">
      <c r="A2515" s="3"/>
      <c r="F2515" s="19"/>
      <c r="G2515" s="19"/>
      <c r="N2515" s="19"/>
      <c r="P2515" s="19"/>
      <c r="AL2515" s="19"/>
    </row>
    <row r="2516" spans="1:38" s="11" customFormat="1" x14ac:dyDescent="0.25">
      <c r="A2516" s="3"/>
      <c r="F2516" s="19"/>
      <c r="G2516" s="19"/>
      <c r="N2516" s="19"/>
      <c r="P2516" s="19"/>
      <c r="AL2516" s="19"/>
    </row>
    <row r="2517" spans="1:38" s="11" customFormat="1" x14ac:dyDescent="0.25">
      <c r="A2517" s="3"/>
      <c r="F2517" s="19"/>
      <c r="G2517" s="19"/>
      <c r="N2517" s="19"/>
      <c r="P2517" s="19"/>
      <c r="AL2517" s="19"/>
    </row>
    <row r="2518" spans="1:38" s="11" customFormat="1" x14ac:dyDescent="0.25">
      <c r="A2518" s="3"/>
      <c r="F2518" s="19"/>
      <c r="G2518" s="19"/>
      <c r="N2518" s="19"/>
      <c r="P2518" s="19"/>
      <c r="AL2518" s="19"/>
    </row>
    <row r="2519" spans="1:38" s="11" customFormat="1" x14ac:dyDescent="0.25">
      <c r="A2519" s="3"/>
      <c r="F2519" s="19"/>
      <c r="G2519" s="19"/>
      <c r="N2519" s="19"/>
      <c r="P2519" s="19"/>
      <c r="AL2519" s="19"/>
    </row>
    <row r="2520" spans="1:38" s="11" customFormat="1" x14ac:dyDescent="0.25">
      <c r="A2520" s="3"/>
      <c r="F2520" s="19"/>
      <c r="G2520" s="19"/>
      <c r="N2520" s="19"/>
      <c r="P2520" s="19"/>
      <c r="AL2520" s="19"/>
    </row>
    <row r="2521" spans="1:38" s="11" customFormat="1" x14ac:dyDescent="0.25">
      <c r="A2521" s="3"/>
      <c r="F2521" s="19"/>
      <c r="G2521" s="19"/>
      <c r="N2521" s="19"/>
      <c r="P2521" s="19"/>
      <c r="AL2521" s="19"/>
    </row>
    <row r="2522" spans="1:38" s="11" customFormat="1" x14ac:dyDescent="0.25">
      <c r="A2522" s="3"/>
      <c r="F2522" s="19"/>
      <c r="G2522" s="19"/>
      <c r="N2522" s="19"/>
      <c r="P2522" s="19"/>
      <c r="AL2522" s="19"/>
    </row>
    <row r="2523" spans="1:38" s="11" customFormat="1" x14ac:dyDescent="0.25">
      <c r="A2523" s="3"/>
      <c r="F2523" s="19"/>
      <c r="G2523" s="19"/>
      <c r="N2523" s="19"/>
      <c r="P2523" s="19"/>
      <c r="AL2523" s="19"/>
    </row>
    <row r="2524" spans="1:38" s="11" customFormat="1" x14ac:dyDescent="0.25">
      <c r="A2524" s="3"/>
      <c r="F2524" s="19"/>
      <c r="G2524" s="19"/>
      <c r="N2524" s="19"/>
      <c r="P2524" s="19"/>
      <c r="AL2524" s="19"/>
    </row>
    <row r="2525" spans="1:38" s="11" customFormat="1" x14ac:dyDescent="0.25">
      <c r="A2525" s="3"/>
      <c r="F2525" s="19"/>
      <c r="G2525" s="19"/>
      <c r="N2525" s="19"/>
      <c r="P2525" s="19"/>
      <c r="AL2525" s="19"/>
    </row>
    <row r="2526" spans="1:38" s="11" customFormat="1" x14ac:dyDescent="0.25">
      <c r="A2526" s="3"/>
      <c r="F2526" s="19"/>
      <c r="G2526" s="19"/>
      <c r="N2526" s="19"/>
      <c r="P2526" s="19"/>
      <c r="AL2526" s="19"/>
    </row>
    <row r="2527" spans="1:38" s="11" customFormat="1" x14ac:dyDescent="0.25">
      <c r="A2527" s="3"/>
      <c r="F2527" s="19"/>
      <c r="G2527" s="19"/>
      <c r="N2527" s="19"/>
      <c r="P2527" s="19"/>
      <c r="AL2527" s="19"/>
    </row>
    <row r="2528" spans="1:38" s="11" customFormat="1" x14ac:dyDescent="0.25">
      <c r="A2528" s="3"/>
      <c r="F2528" s="19"/>
      <c r="G2528" s="19"/>
      <c r="N2528" s="19"/>
      <c r="P2528" s="19"/>
      <c r="AL2528" s="19"/>
    </row>
    <row r="2529" spans="1:38" s="11" customFormat="1" x14ac:dyDescent="0.25">
      <c r="A2529" s="3"/>
      <c r="F2529" s="19"/>
      <c r="G2529" s="19"/>
      <c r="N2529" s="19"/>
      <c r="P2529" s="19"/>
      <c r="AL2529" s="19"/>
    </row>
    <row r="2530" spans="1:38" s="11" customFormat="1" x14ac:dyDescent="0.25">
      <c r="A2530" s="3"/>
      <c r="F2530" s="19"/>
      <c r="G2530" s="19"/>
      <c r="N2530" s="19"/>
      <c r="P2530" s="19"/>
      <c r="AL2530" s="19"/>
    </row>
    <row r="2531" spans="1:38" s="11" customFormat="1" x14ac:dyDescent="0.25">
      <c r="A2531" s="3"/>
      <c r="F2531" s="19"/>
      <c r="G2531" s="19"/>
      <c r="N2531" s="19"/>
      <c r="P2531" s="19"/>
      <c r="AL2531" s="19"/>
    </row>
    <row r="2532" spans="1:38" s="11" customFormat="1" x14ac:dyDescent="0.25">
      <c r="A2532" s="3"/>
      <c r="F2532" s="19"/>
      <c r="G2532" s="19"/>
      <c r="N2532" s="19"/>
      <c r="P2532" s="19"/>
      <c r="AL2532" s="19"/>
    </row>
    <row r="2533" spans="1:38" s="11" customFormat="1" x14ac:dyDescent="0.25">
      <c r="A2533" s="3"/>
      <c r="F2533" s="19"/>
      <c r="G2533" s="19"/>
      <c r="N2533" s="19"/>
      <c r="P2533" s="19"/>
      <c r="AL2533" s="19"/>
    </row>
    <row r="2534" spans="1:38" s="11" customFormat="1" x14ac:dyDescent="0.25">
      <c r="A2534" s="3"/>
      <c r="F2534" s="19"/>
      <c r="G2534" s="19"/>
      <c r="N2534" s="19"/>
      <c r="P2534" s="19"/>
      <c r="AL2534" s="19"/>
    </row>
    <row r="2535" spans="1:38" s="11" customFormat="1" x14ac:dyDescent="0.25">
      <c r="A2535" s="3"/>
      <c r="F2535" s="19"/>
      <c r="G2535" s="19"/>
      <c r="N2535" s="19"/>
      <c r="P2535" s="19"/>
      <c r="AL2535" s="19"/>
    </row>
    <row r="2536" spans="1:38" s="11" customFormat="1" x14ac:dyDescent="0.25">
      <c r="A2536" s="3"/>
      <c r="F2536" s="19"/>
      <c r="G2536" s="19"/>
      <c r="N2536" s="19"/>
      <c r="P2536" s="19"/>
      <c r="AL2536" s="19"/>
    </row>
    <row r="2537" spans="1:38" s="11" customFormat="1" x14ac:dyDescent="0.25">
      <c r="A2537" s="3"/>
      <c r="F2537" s="19"/>
      <c r="G2537" s="19"/>
      <c r="N2537" s="19"/>
      <c r="P2537" s="19"/>
      <c r="AL2537" s="19"/>
    </row>
    <row r="2538" spans="1:38" s="11" customFormat="1" x14ac:dyDescent="0.25">
      <c r="A2538" s="3"/>
      <c r="F2538" s="19"/>
      <c r="G2538" s="19"/>
      <c r="N2538" s="19"/>
      <c r="P2538" s="19"/>
      <c r="AL2538" s="19"/>
    </row>
    <row r="2539" spans="1:38" s="11" customFormat="1" x14ac:dyDescent="0.25">
      <c r="A2539" s="3"/>
      <c r="F2539" s="19"/>
      <c r="G2539" s="19"/>
      <c r="N2539" s="19"/>
      <c r="P2539" s="19"/>
      <c r="AL2539" s="19"/>
    </row>
    <row r="2540" spans="1:38" s="11" customFormat="1" x14ac:dyDescent="0.25">
      <c r="A2540" s="3"/>
      <c r="F2540" s="19"/>
      <c r="G2540" s="19"/>
      <c r="N2540" s="19"/>
      <c r="P2540" s="19"/>
      <c r="AL2540" s="19"/>
    </row>
    <row r="2541" spans="1:38" s="11" customFormat="1" x14ac:dyDescent="0.25">
      <c r="A2541" s="3"/>
      <c r="F2541" s="19"/>
      <c r="G2541" s="19"/>
      <c r="N2541" s="19"/>
      <c r="P2541" s="19"/>
      <c r="AL2541" s="19"/>
    </row>
    <row r="2542" spans="1:38" s="11" customFormat="1" x14ac:dyDescent="0.25">
      <c r="A2542" s="3"/>
      <c r="F2542" s="19"/>
      <c r="G2542" s="19"/>
      <c r="N2542" s="19"/>
      <c r="P2542" s="19"/>
      <c r="AL2542" s="19"/>
    </row>
    <row r="2543" spans="1:38" s="11" customFormat="1" x14ac:dyDescent="0.25">
      <c r="A2543" s="3"/>
      <c r="F2543" s="19"/>
      <c r="G2543" s="19"/>
      <c r="N2543" s="19"/>
      <c r="P2543" s="19"/>
      <c r="AL2543" s="19"/>
    </row>
    <row r="2544" spans="1:38" s="11" customFormat="1" x14ac:dyDescent="0.25">
      <c r="A2544" s="3"/>
      <c r="F2544" s="19"/>
      <c r="G2544" s="19"/>
      <c r="N2544" s="19"/>
      <c r="P2544" s="19"/>
      <c r="AL2544" s="19"/>
    </row>
    <row r="2545" spans="1:38" s="11" customFormat="1" x14ac:dyDescent="0.25">
      <c r="A2545" s="3"/>
      <c r="F2545" s="19"/>
      <c r="G2545" s="19"/>
      <c r="N2545" s="19"/>
      <c r="P2545" s="19"/>
      <c r="AL2545" s="19"/>
    </row>
    <row r="2546" spans="1:38" s="11" customFormat="1" x14ac:dyDescent="0.25">
      <c r="A2546" s="3"/>
      <c r="F2546" s="19"/>
      <c r="G2546" s="19"/>
      <c r="N2546" s="19"/>
      <c r="P2546" s="19"/>
      <c r="AL2546" s="19"/>
    </row>
    <row r="2547" spans="1:38" s="11" customFormat="1" x14ac:dyDescent="0.25">
      <c r="A2547" s="3"/>
      <c r="F2547" s="19"/>
      <c r="G2547" s="19"/>
      <c r="N2547" s="19"/>
      <c r="P2547" s="19"/>
      <c r="AL2547" s="19"/>
    </row>
    <row r="2548" spans="1:38" s="11" customFormat="1" x14ac:dyDescent="0.25">
      <c r="A2548" s="3"/>
      <c r="F2548" s="19"/>
      <c r="G2548" s="19"/>
      <c r="N2548" s="19"/>
      <c r="P2548" s="19"/>
      <c r="AL2548" s="19"/>
    </row>
    <row r="2549" spans="1:38" s="11" customFormat="1" x14ac:dyDescent="0.25">
      <c r="A2549" s="3"/>
      <c r="F2549" s="19"/>
      <c r="G2549" s="19"/>
      <c r="N2549" s="19"/>
      <c r="P2549" s="19"/>
      <c r="AL2549" s="19"/>
    </row>
    <row r="2550" spans="1:38" s="11" customFormat="1" x14ac:dyDescent="0.25">
      <c r="A2550" s="3"/>
      <c r="F2550" s="19"/>
      <c r="G2550" s="19"/>
      <c r="N2550" s="19"/>
      <c r="P2550" s="19"/>
      <c r="AL2550" s="19"/>
    </row>
    <row r="2551" spans="1:38" s="11" customFormat="1" x14ac:dyDescent="0.25">
      <c r="A2551" s="3"/>
      <c r="F2551" s="19"/>
      <c r="G2551" s="19"/>
      <c r="N2551" s="19"/>
      <c r="P2551" s="19"/>
      <c r="AL2551" s="19"/>
    </row>
    <row r="2552" spans="1:38" s="11" customFormat="1" x14ac:dyDescent="0.25">
      <c r="A2552" s="3"/>
      <c r="F2552" s="19"/>
      <c r="G2552" s="19"/>
      <c r="N2552" s="19"/>
      <c r="P2552" s="19"/>
      <c r="AL2552" s="19"/>
    </row>
    <row r="2553" spans="1:38" s="11" customFormat="1" x14ac:dyDescent="0.25">
      <c r="A2553" s="3"/>
      <c r="F2553" s="19"/>
      <c r="G2553" s="19"/>
      <c r="N2553" s="19"/>
      <c r="P2553" s="19"/>
      <c r="AL2553" s="19"/>
    </row>
    <row r="2554" spans="1:38" s="11" customFormat="1" x14ac:dyDescent="0.25">
      <c r="A2554" s="3"/>
      <c r="F2554" s="19"/>
      <c r="G2554" s="19"/>
      <c r="N2554" s="19"/>
      <c r="P2554" s="19"/>
      <c r="AL2554" s="19"/>
    </row>
    <row r="2555" spans="1:38" s="11" customFormat="1" x14ac:dyDescent="0.25">
      <c r="A2555" s="3"/>
      <c r="F2555" s="19"/>
      <c r="G2555" s="19"/>
      <c r="N2555" s="19"/>
      <c r="P2555" s="19"/>
      <c r="AL2555" s="19"/>
    </row>
    <row r="2556" spans="1:38" s="11" customFormat="1" x14ac:dyDescent="0.25">
      <c r="A2556" s="3"/>
      <c r="F2556" s="19"/>
      <c r="G2556" s="19"/>
      <c r="N2556" s="19"/>
      <c r="P2556" s="19"/>
      <c r="AL2556" s="19"/>
    </row>
    <row r="2557" spans="1:38" s="11" customFormat="1" x14ac:dyDescent="0.25">
      <c r="A2557" s="3"/>
      <c r="F2557" s="19"/>
      <c r="G2557" s="19"/>
      <c r="N2557" s="19"/>
      <c r="P2557" s="19"/>
      <c r="AL2557" s="19"/>
    </row>
    <row r="2558" spans="1:38" s="11" customFormat="1" x14ac:dyDescent="0.25">
      <c r="A2558" s="3"/>
      <c r="F2558" s="19"/>
      <c r="G2558" s="19"/>
      <c r="N2558" s="19"/>
      <c r="P2558" s="19"/>
      <c r="AL2558" s="19"/>
    </row>
    <row r="2559" spans="1:38" s="11" customFormat="1" x14ac:dyDescent="0.25">
      <c r="A2559" s="3"/>
      <c r="F2559" s="19"/>
      <c r="G2559" s="19"/>
      <c r="N2559" s="19"/>
      <c r="P2559" s="19"/>
      <c r="AL2559" s="19"/>
    </row>
    <row r="2560" spans="1:38" s="11" customFormat="1" x14ac:dyDescent="0.25">
      <c r="A2560" s="3"/>
      <c r="F2560" s="19"/>
      <c r="G2560" s="19"/>
      <c r="N2560" s="19"/>
      <c r="P2560" s="19"/>
      <c r="AL2560" s="19"/>
    </row>
    <row r="2561" spans="1:38" s="11" customFormat="1" x14ac:dyDescent="0.25">
      <c r="A2561" s="3"/>
      <c r="F2561" s="19"/>
      <c r="G2561" s="19"/>
      <c r="N2561" s="19"/>
      <c r="P2561" s="19"/>
      <c r="AL2561" s="19"/>
    </row>
    <row r="2562" spans="1:38" s="11" customFormat="1" x14ac:dyDescent="0.25">
      <c r="A2562" s="3"/>
      <c r="F2562" s="19"/>
      <c r="G2562" s="19"/>
      <c r="N2562" s="19"/>
      <c r="P2562" s="19"/>
      <c r="AL2562" s="19"/>
    </row>
    <row r="2563" spans="1:38" s="11" customFormat="1" x14ac:dyDescent="0.25">
      <c r="A2563" s="3"/>
      <c r="F2563" s="19"/>
      <c r="G2563" s="19"/>
      <c r="N2563" s="19"/>
      <c r="P2563" s="19"/>
      <c r="AL2563" s="19"/>
    </row>
    <row r="2564" spans="1:38" s="11" customFormat="1" x14ac:dyDescent="0.25">
      <c r="A2564" s="3"/>
      <c r="F2564" s="19"/>
      <c r="G2564" s="19"/>
      <c r="N2564" s="19"/>
      <c r="P2564" s="19"/>
      <c r="AL2564" s="19"/>
    </row>
    <row r="2565" spans="1:38" s="11" customFormat="1" x14ac:dyDescent="0.25">
      <c r="A2565" s="3"/>
      <c r="F2565" s="19"/>
      <c r="G2565" s="19"/>
      <c r="N2565" s="19"/>
      <c r="P2565" s="19"/>
      <c r="AL2565" s="19"/>
    </row>
    <row r="2566" spans="1:38" s="11" customFormat="1" x14ac:dyDescent="0.25">
      <c r="A2566" s="3"/>
      <c r="F2566" s="19"/>
      <c r="G2566" s="19"/>
      <c r="N2566" s="19"/>
      <c r="P2566" s="19"/>
      <c r="AL2566" s="19"/>
    </row>
    <row r="2567" spans="1:38" s="11" customFormat="1" x14ac:dyDescent="0.25">
      <c r="A2567" s="3"/>
      <c r="F2567" s="19"/>
      <c r="G2567" s="19"/>
      <c r="N2567" s="19"/>
      <c r="P2567" s="19"/>
      <c r="AL2567" s="19"/>
    </row>
    <row r="2568" spans="1:38" s="11" customFormat="1" x14ac:dyDescent="0.25">
      <c r="A2568" s="3"/>
      <c r="F2568" s="19"/>
      <c r="G2568" s="19"/>
      <c r="N2568" s="19"/>
      <c r="P2568" s="19"/>
      <c r="AL2568" s="19"/>
    </row>
    <row r="2569" spans="1:38" s="11" customFormat="1" x14ac:dyDescent="0.25">
      <c r="A2569" s="3"/>
      <c r="F2569" s="19"/>
      <c r="G2569" s="19"/>
      <c r="N2569" s="19"/>
      <c r="P2569" s="19"/>
      <c r="AL2569" s="19"/>
    </row>
    <row r="2570" spans="1:38" s="11" customFormat="1" x14ac:dyDescent="0.25">
      <c r="A2570" s="3"/>
      <c r="F2570" s="19"/>
      <c r="G2570" s="19"/>
      <c r="N2570" s="19"/>
      <c r="P2570" s="19"/>
      <c r="AL2570" s="19"/>
    </row>
    <row r="2571" spans="1:38" s="11" customFormat="1" x14ac:dyDescent="0.25">
      <c r="A2571" s="3"/>
      <c r="F2571" s="19"/>
      <c r="G2571" s="19"/>
      <c r="N2571" s="19"/>
      <c r="P2571" s="19"/>
      <c r="AL2571" s="19"/>
    </row>
    <row r="2572" spans="1:38" s="11" customFormat="1" x14ac:dyDescent="0.25">
      <c r="A2572" s="3"/>
      <c r="F2572" s="19"/>
      <c r="G2572" s="19"/>
      <c r="N2572" s="19"/>
      <c r="P2572" s="19"/>
      <c r="AL2572" s="19"/>
    </row>
    <row r="2573" spans="1:38" s="11" customFormat="1" x14ac:dyDescent="0.25">
      <c r="A2573" s="3"/>
      <c r="F2573" s="19"/>
      <c r="G2573" s="19"/>
      <c r="N2573" s="19"/>
      <c r="P2573" s="19"/>
      <c r="AL2573" s="19"/>
    </row>
    <row r="2574" spans="1:38" s="11" customFormat="1" x14ac:dyDescent="0.25">
      <c r="A2574" s="3"/>
      <c r="F2574" s="19"/>
      <c r="G2574" s="19"/>
      <c r="N2574" s="19"/>
      <c r="P2574" s="19"/>
      <c r="AL2574" s="19"/>
    </row>
    <row r="2575" spans="1:38" s="11" customFormat="1" x14ac:dyDescent="0.25">
      <c r="A2575" s="3"/>
      <c r="F2575" s="19"/>
      <c r="G2575" s="19"/>
      <c r="N2575" s="19"/>
      <c r="P2575" s="19"/>
      <c r="AL2575" s="19"/>
    </row>
    <row r="2576" spans="1:38" s="11" customFormat="1" x14ac:dyDescent="0.25">
      <c r="A2576" s="3"/>
      <c r="F2576" s="19"/>
      <c r="G2576" s="19"/>
      <c r="N2576" s="19"/>
      <c r="P2576" s="19"/>
      <c r="AL2576" s="19"/>
    </row>
    <row r="2577" spans="1:38" s="11" customFormat="1" x14ac:dyDescent="0.25">
      <c r="A2577" s="3"/>
      <c r="F2577" s="19"/>
      <c r="G2577" s="19"/>
      <c r="N2577" s="19"/>
      <c r="P2577" s="19"/>
      <c r="AL2577" s="19"/>
    </row>
    <row r="2578" spans="1:38" s="11" customFormat="1" x14ac:dyDescent="0.25">
      <c r="A2578" s="3"/>
      <c r="F2578" s="19"/>
      <c r="G2578" s="19"/>
      <c r="N2578" s="19"/>
      <c r="P2578" s="19"/>
      <c r="AL2578" s="19"/>
    </row>
    <row r="2579" spans="1:38" s="11" customFormat="1" x14ac:dyDescent="0.25">
      <c r="A2579" s="3"/>
      <c r="F2579" s="19"/>
      <c r="G2579" s="19"/>
      <c r="N2579" s="19"/>
      <c r="P2579" s="19"/>
      <c r="AL2579" s="19"/>
    </row>
    <row r="2580" spans="1:38" s="11" customFormat="1" x14ac:dyDescent="0.25">
      <c r="A2580" s="3"/>
      <c r="F2580" s="19"/>
      <c r="G2580" s="19"/>
      <c r="N2580" s="19"/>
      <c r="P2580" s="19"/>
      <c r="AL2580" s="19"/>
    </row>
    <row r="2581" spans="1:38" s="11" customFormat="1" x14ac:dyDescent="0.25">
      <c r="A2581" s="3"/>
      <c r="F2581" s="19"/>
      <c r="G2581" s="19"/>
      <c r="N2581" s="19"/>
      <c r="P2581" s="19"/>
      <c r="AL2581" s="19"/>
    </row>
    <row r="2582" spans="1:38" s="11" customFormat="1" x14ac:dyDescent="0.25">
      <c r="A2582" s="3"/>
      <c r="F2582" s="19"/>
      <c r="G2582" s="19"/>
      <c r="N2582" s="19"/>
      <c r="P2582" s="19"/>
      <c r="AL2582" s="19"/>
    </row>
    <row r="2583" spans="1:38" s="11" customFormat="1" x14ac:dyDescent="0.25">
      <c r="A2583" s="3"/>
      <c r="F2583" s="19"/>
      <c r="G2583" s="19"/>
      <c r="N2583" s="19"/>
      <c r="P2583" s="19"/>
      <c r="AL2583" s="19"/>
    </row>
    <row r="2584" spans="1:38" s="11" customFormat="1" x14ac:dyDescent="0.25">
      <c r="A2584" s="3"/>
      <c r="F2584" s="19"/>
      <c r="G2584" s="19"/>
      <c r="N2584" s="19"/>
      <c r="P2584" s="19"/>
      <c r="AL2584" s="19"/>
    </row>
    <row r="2585" spans="1:38" s="11" customFormat="1" x14ac:dyDescent="0.25">
      <c r="A2585" s="3"/>
      <c r="F2585" s="19"/>
      <c r="G2585" s="19"/>
      <c r="N2585" s="19"/>
      <c r="P2585" s="19"/>
      <c r="AL2585" s="19"/>
    </row>
    <row r="2586" spans="1:38" s="11" customFormat="1" x14ac:dyDescent="0.25">
      <c r="A2586" s="3"/>
      <c r="F2586" s="19"/>
      <c r="G2586" s="19"/>
      <c r="N2586" s="19"/>
      <c r="P2586" s="19"/>
      <c r="AL2586" s="19"/>
    </row>
    <row r="2587" spans="1:38" s="11" customFormat="1" x14ac:dyDescent="0.25">
      <c r="A2587" s="3"/>
      <c r="F2587" s="19"/>
      <c r="G2587" s="19"/>
      <c r="N2587" s="19"/>
      <c r="P2587" s="19"/>
      <c r="AL2587" s="19"/>
    </row>
    <row r="2588" spans="1:38" s="11" customFormat="1" x14ac:dyDescent="0.25">
      <c r="A2588" s="3"/>
      <c r="F2588" s="19"/>
      <c r="G2588" s="19"/>
      <c r="N2588" s="19"/>
      <c r="P2588" s="19"/>
      <c r="AL2588" s="19"/>
    </row>
    <row r="2589" spans="1:38" s="11" customFormat="1" x14ac:dyDescent="0.25">
      <c r="A2589" s="3"/>
      <c r="F2589" s="19"/>
      <c r="G2589" s="19"/>
      <c r="N2589" s="19"/>
      <c r="P2589" s="19"/>
      <c r="AL2589" s="19"/>
    </row>
    <row r="2590" spans="1:38" s="11" customFormat="1" x14ac:dyDescent="0.25">
      <c r="A2590" s="3"/>
      <c r="F2590" s="19"/>
      <c r="G2590" s="19"/>
      <c r="N2590" s="19"/>
      <c r="P2590" s="19"/>
      <c r="AL2590" s="19"/>
    </row>
    <row r="2591" spans="1:38" s="11" customFormat="1" x14ac:dyDescent="0.25">
      <c r="A2591" s="3"/>
      <c r="F2591" s="19"/>
      <c r="G2591" s="19"/>
      <c r="N2591" s="19"/>
      <c r="P2591" s="19"/>
      <c r="AL2591" s="19"/>
    </row>
    <row r="2592" spans="1:38" s="11" customFormat="1" x14ac:dyDescent="0.25">
      <c r="A2592" s="3"/>
      <c r="F2592" s="19"/>
      <c r="G2592" s="19"/>
      <c r="N2592" s="19"/>
      <c r="P2592" s="19"/>
      <c r="AL2592" s="19"/>
    </row>
    <row r="2593" spans="1:38" s="11" customFormat="1" x14ac:dyDescent="0.25">
      <c r="A2593" s="3"/>
      <c r="F2593" s="19"/>
      <c r="G2593" s="19"/>
      <c r="N2593" s="19"/>
      <c r="P2593" s="19"/>
      <c r="AL2593" s="19"/>
    </row>
    <row r="2594" spans="1:38" s="11" customFormat="1" x14ac:dyDescent="0.25">
      <c r="A2594" s="3"/>
      <c r="F2594" s="19"/>
      <c r="G2594" s="19"/>
      <c r="N2594" s="19"/>
      <c r="P2594" s="19"/>
      <c r="AL2594" s="19"/>
    </row>
    <row r="2595" spans="1:38" s="11" customFormat="1" x14ac:dyDescent="0.25">
      <c r="A2595" s="3"/>
      <c r="F2595" s="19"/>
      <c r="G2595" s="19"/>
      <c r="N2595" s="19"/>
      <c r="P2595" s="19"/>
      <c r="AL2595" s="19"/>
    </row>
    <row r="2596" spans="1:38" s="11" customFormat="1" x14ac:dyDescent="0.25">
      <c r="A2596" s="3"/>
      <c r="F2596" s="19"/>
      <c r="G2596" s="19"/>
      <c r="N2596" s="19"/>
      <c r="P2596" s="19"/>
      <c r="AL2596" s="19"/>
    </row>
    <row r="2597" spans="1:38" s="11" customFormat="1" x14ac:dyDescent="0.25">
      <c r="A2597" s="3"/>
      <c r="F2597" s="19"/>
      <c r="G2597" s="19"/>
      <c r="N2597" s="19"/>
      <c r="P2597" s="19"/>
      <c r="AL2597" s="19"/>
    </row>
    <row r="2598" spans="1:38" s="11" customFormat="1" x14ac:dyDescent="0.25">
      <c r="A2598" s="3"/>
      <c r="F2598" s="19"/>
      <c r="G2598" s="19"/>
      <c r="N2598" s="19"/>
      <c r="P2598" s="19"/>
      <c r="AL2598" s="19"/>
    </row>
    <row r="2599" spans="1:38" s="11" customFormat="1" x14ac:dyDescent="0.25">
      <c r="A2599" s="3"/>
      <c r="F2599" s="19"/>
      <c r="G2599" s="19"/>
      <c r="N2599" s="19"/>
      <c r="P2599" s="19"/>
      <c r="AL2599" s="19"/>
    </row>
    <row r="2600" spans="1:38" s="11" customFormat="1" x14ac:dyDescent="0.25">
      <c r="A2600" s="3"/>
      <c r="F2600" s="19"/>
      <c r="G2600" s="19"/>
      <c r="N2600" s="19"/>
      <c r="P2600" s="19"/>
      <c r="AL2600" s="19"/>
    </row>
    <row r="2601" spans="1:38" s="11" customFormat="1" x14ac:dyDescent="0.25">
      <c r="A2601" s="3"/>
      <c r="F2601" s="19"/>
      <c r="G2601" s="19"/>
      <c r="N2601" s="19"/>
      <c r="P2601" s="19"/>
      <c r="AL2601" s="19"/>
    </row>
    <row r="2602" spans="1:38" s="11" customFormat="1" x14ac:dyDescent="0.25">
      <c r="A2602" s="3"/>
      <c r="F2602" s="19"/>
      <c r="G2602" s="19"/>
      <c r="N2602" s="19"/>
      <c r="P2602" s="19"/>
      <c r="AL2602" s="19"/>
    </row>
    <row r="2603" spans="1:38" s="11" customFormat="1" x14ac:dyDescent="0.25">
      <c r="A2603" s="3"/>
      <c r="F2603" s="19"/>
      <c r="G2603" s="19"/>
      <c r="N2603" s="19"/>
      <c r="P2603" s="19"/>
      <c r="AL2603" s="19"/>
    </row>
    <row r="2604" spans="1:38" s="11" customFormat="1" x14ac:dyDescent="0.25">
      <c r="A2604" s="3"/>
      <c r="F2604" s="19"/>
      <c r="G2604" s="19"/>
      <c r="N2604" s="19"/>
      <c r="P2604" s="19"/>
      <c r="AL2604" s="19"/>
    </row>
    <row r="2605" spans="1:38" s="11" customFormat="1" x14ac:dyDescent="0.25">
      <c r="A2605" s="3"/>
      <c r="F2605" s="19"/>
      <c r="G2605" s="19"/>
      <c r="N2605" s="19"/>
      <c r="P2605" s="19"/>
      <c r="AL2605" s="19"/>
    </row>
    <row r="2606" spans="1:38" s="11" customFormat="1" x14ac:dyDescent="0.25">
      <c r="A2606" s="3"/>
      <c r="F2606" s="19"/>
      <c r="G2606" s="19"/>
      <c r="N2606" s="19"/>
      <c r="P2606" s="19"/>
      <c r="AL2606" s="19"/>
    </row>
    <row r="2607" spans="1:38" s="11" customFormat="1" x14ac:dyDescent="0.25">
      <c r="A2607" s="3"/>
      <c r="F2607" s="19"/>
      <c r="G2607" s="19"/>
      <c r="N2607" s="19"/>
      <c r="P2607" s="19"/>
      <c r="AL2607" s="19"/>
    </row>
    <row r="2608" spans="1:38" s="11" customFormat="1" x14ac:dyDescent="0.25">
      <c r="A2608" s="3"/>
      <c r="F2608" s="19"/>
      <c r="G2608" s="19"/>
      <c r="N2608" s="19"/>
      <c r="P2608" s="19"/>
      <c r="AL2608" s="19"/>
    </row>
    <row r="2609" spans="1:38" s="11" customFormat="1" x14ac:dyDescent="0.25">
      <c r="A2609" s="3"/>
      <c r="F2609" s="19"/>
      <c r="G2609" s="19"/>
      <c r="N2609" s="19"/>
      <c r="P2609" s="19"/>
      <c r="AL2609" s="19"/>
    </row>
    <row r="2610" spans="1:38" s="11" customFormat="1" x14ac:dyDescent="0.25">
      <c r="A2610" s="3"/>
      <c r="F2610" s="19"/>
      <c r="G2610" s="19"/>
      <c r="N2610" s="19"/>
      <c r="P2610" s="19"/>
      <c r="AL2610" s="19"/>
    </row>
    <row r="2611" spans="1:38" s="11" customFormat="1" x14ac:dyDescent="0.25">
      <c r="A2611" s="3"/>
      <c r="F2611" s="19"/>
      <c r="G2611" s="19"/>
      <c r="N2611" s="19"/>
      <c r="P2611" s="19"/>
      <c r="AL2611" s="19"/>
    </row>
    <row r="2612" spans="1:38" s="11" customFormat="1" x14ac:dyDescent="0.25">
      <c r="A2612" s="3"/>
      <c r="F2612" s="19"/>
      <c r="G2612" s="19"/>
      <c r="N2612" s="19"/>
      <c r="P2612" s="19"/>
      <c r="AL2612" s="19"/>
    </row>
    <row r="2613" spans="1:38" s="11" customFormat="1" x14ac:dyDescent="0.25">
      <c r="A2613" s="3"/>
      <c r="F2613" s="19"/>
      <c r="G2613" s="19"/>
      <c r="N2613" s="19"/>
      <c r="P2613" s="19"/>
      <c r="AL2613" s="19"/>
    </row>
    <row r="2614" spans="1:38" s="11" customFormat="1" x14ac:dyDescent="0.25">
      <c r="A2614" s="3"/>
      <c r="F2614" s="19"/>
      <c r="G2614" s="19"/>
      <c r="N2614" s="19"/>
      <c r="P2614" s="19"/>
      <c r="AL2614" s="19"/>
    </row>
    <row r="2615" spans="1:38" s="11" customFormat="1" x14ac:dyDescent="0.25">
      <c r="A2615" s="3"/>
      <c r="F2615" s="19"/>
      <c r="G2615" s="19"/>
      <c r="N2615" s="19"/>
      <c r="P2615" s="19"/>
      <c r="AL2615" s="19"/>
    </row>
    <row r="2616" spans="1:38" s="11" customFormat="1" x14ac:dyDescent="0.25">
      <c r="A2616" s="3"/>
      <c r="F2616" s="19"/>
      <c r="G2616" s="19"/>
      <c r="N2616" s="19"/>
      <c r="P2616" s="19"/>
      <c r="AL2616" s="19"/>
    </row>
    <row r="2617" spans="1:38" s="11" customFormat="1" x14ac:dyDescent="0.25">
      <c r="A2617" s="3"/>
      <c r="F2617" s="19"/>
      <c r="G2617" s="19"/>
      <c r="N2617" s="19"/>
      <c r="P2617" s="19"/>
      <c r="AL2617" s="19"/>
    </row>
    <row r="2618" spans="1:38" s="11" customFormat="1" x14ac:dyDescent="0.25">
      <c r="A2618" s="3"/>
      <c r="F2618" s="19"/>
      <c r="G2618" s="19"/>
      <c r="N2618" s="19"/>
      <c r="P2618" s="19"/>
      <c r="AL2618" s="19"/>
    </row>
    <row r="2619" spans="1:38" s="11" customFormat="1" x14ac:dyDescent="0.25">
      <c r="A2619" s="3"/>
      <c r="F2619" s="19"/>
      <c r="G2619" s="19"/>
      <c r="N2619" s="19"/>
      <c r="P2619" s="19"/>
      <c r="AL2619" s="19"/>
    </row>
    <row r="2620" spans="1:38" s="11" customFormat="1" x14ac:dyDescent="0.25">
      <c r="A2620" s="3"/>
      <c r="F2620" s="19"/>
      <c r="G2620" s="19"/>
      <c r="N2620" s="19"/>
      <c r="P2620" s="19"/>
      <c r="AL2620" s="19"/>
    </row>
    <row r="2621" spans="1:38" s="11" customFormat="1" x14ac:dyDescent="0.25">
      <c r="A2621" s="3"/>
      <c r="F2621" s="19"/>
      <c r="G2621" s="19"/>
      <c r="N2621" s="19"/>
      <c r="P2621" s="19"/>
      <c r="AL2621" s="19"/>
    </row>
    <row r="2622" spans="1:38" s="11" customFormat="1" x14ac:dyDescent="0.25">
      <c r="A2622" s="3"/>
      <c r="F2622" s="19"/>
      <c r="G2622" s="19"/>
      <c r="N2622" s="19"/>
      <c r="P2622" s="19"/>
      <c r="AL2622" s="19"/>
    </row>
    <row r="2623" spans="1:38" s="11" customFormat="1" x14ac:dyDescent="0.25">
      <c r="A2623" s="3"/>
      <c r="F2623" s="19"/>
      <c r="G2623" s="19"/>
      <c r="N2623" s="19"/>
      <c r="P2623" s="19"/>
      <c r="AL2623" s="19"/>
    </row>
    <row r="2624" spans="1:38" s="11" customFormat="1" x14ac:dyDescent="0.25">
      <c r="A2624" s="3"/>
      <c r="F2624" s="19"/>
      <c r="G2624" s="19"/>
      <c r="N2624" s="19"/>
      <c r="P2624" s="19"/>
      <c r="AL2624" s="19"/>
    </row>
    <row r="2625" spans="1:38" s="11" customFormat="1" x14ac:dyDescent="0.25">
      <c r="A2625" s="3"/>
      <c r="F2625" s="19"/>
      <c r="G2625" s="19"/>
      <c r="N2625" s="19"/>
      <c r="P2625" s="19"/>
      <c r="AL2625" s="19"/>
    </row>
    <row r="2626" spans="1:38" s="11" customFormat="1" x14ac:dyDescent="0.25">
      <c r="A2626" s="3"/>
      <c r="F2626" s="19"/>
      <c r="G2626" s="19"/>
      <c r="N2626" s="19"/>
      <c r="P2626" s="19"/>
      <c r="AL2626" s="19"/>
    </row>
    <row r="2627" spans="1:38" s="11" customFormat="1" x14ac:dyDescent="0.25">
      <c r="A2627" s="3"/>
      <c r="F2627" s="19"/>
      <c r="G2627" s="19"/>
      <c r="N2627" s="19"/>
      <c r="P2627" s="19"/>
      <c r="AL2627" s="19"/>
    </row>
    <row r="2628" spans="1:38" s="11" customFormat="1" x14ac:dyDescent="0.25">
      <c r="A2628" s="3"/>
      <c r="F2628" s="19"/>
      <c r="G2628" s="19"/>
      <c r="N2628" s="19"/>
      <c r="P2628" s="19"/>
      <c r="AL2628" s="19"/>
    </row>
    <row r="2629" spans="1:38" s="11" customFormat="1" x14ac:dyDescent="0.25">
      <c r="A2629" s="3"/>
      <c r="F2629" s="19"/>
      <c r="G2629" s="19"/>
      <c r="N2629" s="19"/>
      <c r="P2629" s="19"/>
      <c r="AL2629" s="19"/>
    </row>
    <row r="2630" spans="1:38" s="11" customFormat="1" x14ac:dyDescent="0.25">
      <c r="A2630" s="3"/>
      <c r="F2630" s="19"/>
      <c r="G2630" s="19"/>
      <c r="N2630" s="19"/>
      <c r="P2630" s="19"/>
      <c r="AL2630" s="19"/>
    </row>
    <row r="2631" spans="1:38" s="11" customFormat="1" x14ac:dyDescent="0.25">
      <c r="A2631" s="3"/>
      <c r="F2631" s="19"/>
      <c r="G2631" s="19"/>
      <c r="N2631" s="19"/>
      <c r="P2631" s="19"/>
      <c r="AL2631" s="19"/>
    </row>
    <row r="2632" spans="1:38" s="11" customFormat="1" x14ac:dyDescent="0.25">
      <c r="A2632" s="3"/>
      <c r="F2632" s="19"/>
      <c r="G2632" s="19"/>
      <c r="N2632" s="19"/>
      <c r="P2632" s="19"/>
      <c r="AL2632" s="19"/>
    </row>
    <row r="2633" spans="1:38" s="11" customFormat="1" x14ac:dyDescent="0.25">
      <c r="A2633" s="3"/>
      <c r="F2633" s="19"/>
      <c r="G2633" s="19"/>
      <c r="N2633" s="19"/>
      <c r="P2633" s="19"/>
      <c r="AL2633" s="19"/>
    </row>
    <row r="2634" spans="1:38" s="11" customFormat="1" x14ac:dyDescent="0.25">
      <c r="A2634" s="3"/>
      <c r="F2634" s="19"/>
      <c r="G2634" s="19"/>
      <c r="N2634" s="19"/>
      <c r="P2634" s="19"/>
      <c r="AL2634" s="19"/>
    </row>
    <row r="2635" spans="1:38" s="11" customFormat="1" x14ac:dyDescent="0.25">
      <c r="A2635" s="3"/>
      <c r="F2635" s="19"/>
      <c r="G2635" s="19"/>
      <c r="N2635" s="19"/>
      <c r="P2635" s="19"/>
      <c r="AL2635" s="19"/>
    </row>
    <row r="2636" spans="1:38" s="11" customFormat="1" x14ac:dyDescent="0.25">
      <c r="A2636" s="3"/>
      <c r="F2636" s="19"/>
      <c r="G2636" s="19"/>
      <c r="N2636" s="19"/>
      <c r="P2636" s="19"/>
      <c r="AL2636" s="19"/>
    </row>
    <row r="2637" spans="1:38" s="11" customFormat="1" x14ac:dyDescent="0.25">
      <c r="A2637" s="3"/>
      <c r="F2637" s="19"/>
      <c r="G2637" s="19"/>
      <c r="N2637" s="19"/>
      <c r="P2637" s="19"/>
      <c r="AL2637" s="19"/>
    </row>
    <row r="2638" spans="1:38" s="11" customFormat="1" x14ac:dyDescent="0.25">
      <c r="A2638" s="3"/>
      <c r="F2638" s="19"/>
      <c r="G2638" s="19"/>
      <c r="N2638" s="19"/>
      <c r="P2638" s="19"/>
      <c r="AL2638" s="19"/>
    </row>
    <row r="2639" spans="1:38" s="11" customFormat="1" x14ac:dyDescent="0.25">
      <c r="A2639" s="3"/>
      <c r="F2639" s="19"/>
      <c r="G2639" s="19"/>
      <c r="N2639" s="19"/>
      <c r="P2639" s="19"/>
      <c r="AL2639" s="19"/>
    </row>
    <row r="2640" spans="1:38" s="11" customFormat="1" x14ac:dyDescent="0.25">
      <c r="A2640" s="3"/>
      <c r="F2640" s="19"/>
      <c r="G2640" s="19"/>
      <c r="N2640" s="19"/>
      <c r="P2640" s="19"/>
      <c r="AL2640" s="19"/>
    </row>
    <row r="2641" spans="1:38" s="11" customFormat="1" x14ac:dyDescent="0.25">
      <c r="A2641" s="3"/>
      <c r="F2641" s="19"/>
      <c r="G2641" s="19"/>
      <c r="N2641" s="19"/>
      <c r="P2641" s="19"/>
      <c r="AL2641" s="19"/>
    </row>
    <row r="2642" spans="1:38" s="11" customFormat="1" x14ac:dyDescent="0.25">
      <c r="A2642" s="3"/>
      <c r="F2642" s="19"/>
      <c r="G2642" s="19"/>
      <c r="N2642" s="19"/>
      <c r="P2642" s="19"/>
      <c r="AL2642" s="19"/>
    </row>
    <row r="2643" spans="1:38" s="11" customFormat="1" x14ac:dyDescent="0.25">
      <c r="A2643" s="3"/>
      <c r="F2643" s="19"/>
      <c r="G2643" s="19"/>
      <c r="N2643" s="19"/>
      <c r="P2643" s="19"/>
      <c r="AL2643" s="19"/>
    </row>
    <row r="2644" spans="1:38" s="11" customFormat="1" x14ac:dyDescent="0.25">
      <c r="A2644" s="3"/>
      <c r="F2644" s="19"/>
      <c r="G2644" s="19"/>
      <c r="N2644" s="19"/>
      <c r="P2644" s="19"/>
      <c r="AL2644" s="19"/>
    </row>
    <row r="2645" spans="1:38" s="11" customFormat="1" x14ac:dyDescent="0.25">
      <c r="A2645" s="3"/>
      <c r="F2645" s="19"/>
      <c r="G2645" s="19"/>
      <c r="N2645" s="19"/>
      <c r="P2645" s="19"/>
      <c r="AL2645" s="19"/>
    </row>
    <row r="2646" spans="1:38" s="11" customFormat="1" x14ac:dyDescent="0.25">
      <c r="A2646" s="3"/>
      <c r="F2646" s="19"/>
      <c r="G2646" s="19"/>
      <c r="N2646" s="19"/>
      <c r="P2646" s="19"/>
      <c r="AL2646" s="19"/>
    </row>
    <row r="2647" spans="1:38" s="11" customFormat="1" x14ac:dyDescent="0.25">
      <c r="A2647" s="3"/>
      <c r="F2647" s="19"/>
      <c r="G2647" s="19"/>
      <c r="N2647" s="19"/>
      <c r="P2647" s="19"/>
      <c r="AL2647" s="19"/>
    </row>
    <row r="2648" spans="1:38" s="11" customFormat="1" x14ac:dyDescent="0.25">
      <c r="A2648" s="3"/>
      <c r="F2648" s="19"/>
      <c r="G2648" s="19"/>
      <c r="N2648" s="19"/>
      <c r="P2648" s="19"/>
      <c r="AL2648" s="19"/>
    </row>
    <row r="2649" spans="1:38" s="11" customFormat="1" x14ac:dyDescent="0.25">
      <c r="A2649" s="3"/>
      <c r="F2649" s="19"/>
      <c r="G2649" s="19"/>
      <c r="N2649" s="19"/>
      <c r="P2649" s="19"/>
      <c r="AL2649" s="19"/>
    </row>
    <row r="2650" spans="1:38" s="11" customFormat="1" x14ac:dyDescent="0.25">
      <c r="A2650" s="3"/>
      <c r="F2650" s="19"/>
      <c r="G2650" s="19"/>
      <c r="N2650" s="19"/>
      <c r="P2650" s="19"/>
      <c r="AL2650" s="19"/>
    </row>
    <row r="2651" spans="1:38" s="11" customFormat="1" x14ac:dyDescent="0.25">
      <c r="A2651" s="3"/>
      <c r="F2651" s="19"/>
      <c r="G2651" s="19"/>
      <c r="N2651" s="19"/>
      <c r="P2651" s="19"/>
      <c r="AL2651" s="19"/>
    </row>
    <row r="2652" spans="1:38" s="11" customFormat="1" x14ac:dyDescent="0.25">
      <c r="A2652" s="3"/>
      <c r="F2652" s="19"/>
      <c r="G2652" s="19"/>
      <c r="N2652" s="19"/>
      <c r="P2652" s="19"/>
      <c r="AL2652" s="19"/>
    </row>
    <row r="2653" spans="1:38" s="11" customFormat="1" x14ac:dyDescent="0.25">
      <c r="A2653" s="3"/>
      <c r="F2653" s="19"/>
      <c r="G2653" s="19"/>
      <c r="N2653" s="19"/>
      <c r="P2653" s="19"/>
      <c r="AL2653" s="19"/>
    </row>
    <row r="2654" spans="1:38" s="11" customFormat="1" x14ac:dyDescent="0.25">
      <c r="A2654" s="3"/>
      <c r="F2654" s="19"/>
      <c r="G2654" s="19"/>
      <c r="N2654" s="19"/>
      <c r="P2654" s="19"/>
      <c r="AL2654" s="19"/>
    </row>
    <row r="2655" spans="1:38" s="11" customFormat="1" x14ac:dyDescent="0.25">
      <c r="A2655" s="3"/>
      <c r="F2655" s="19"/>
      <c r="G2655" s="19"/>
      <c r="N2655" s="19"/>
      <c r="P2655" s="19"/>
      <c r="AL2655" s="19"/>
    </row>
    <row r="2656" spans="1:38" s="11" customFormat="1" x14ac:dyDescent="0.25">
      <c r="A2656" s="3"/>
      <c r="F2656" s="19"/>
      <c r="G2656" s="19"/>
      <c r="N2656" s="19"/>
      <c r="P2656" s="19"/>
      <c r="AL2656" s="19"/>
    </row>
    <row r="2657" spans="1:38" s="11" customFormat="1" x14ac:dyDescent="0.25">
      <c r="A2657" s="3"/>
      <c r="F2657" s="19"/>
      <c r="G2657" s="19"/>
      <c r="N2657" s="19"/>
      <c r="P2657" s="19"/>
      <c r="AL2657" s="19"/>
    </row>
    <row r="2658" spans="1:38" s="11" customFormat="1" x14ac:dyDescent="0.25">
      <c r="A2658" s="3"/>
      <c r="F2658" s="19"/>
      <c r="G2658" s="19"/>
      <c r="N2658" s="19"/>
      <c r="P2658" s="19"/>
      <c r="AL2658" s="19"/>
    </row>
    <row r="2659" spans="1:38" s="11" customFormat="1" x14ac:dyDescent="0.25">
      <c r="A2659" s="3"/>
      <c r="F2659" s="19"/>
      <c r="G2659" s="19"/>
      <c r="N2659" s="19"/>
      <c r="P2659" s="19"/>
      <c r="AL2659" s="19"/>
    </row>
    <row r="2660" spans="1:38" s="11" customFormat="1" x14ac:dyDescent="0.25">
      <c r="A2660" s="3"/>
      <c r="F2660" s="19"/>
      <c r="G2660" s="19"/>
      <c r="N2660" s="19"/>
      <c r="P2660" s="19"/>
      <c r="AL2660" s="19"/>
    </row>
    <row r="2661" spans="1:38" s="11" customFormat="1" x14ac:dyDescent="0.25">
      <c r="A2661" s="3"/>
      <c r="F2661" s="19"/>
      <c r="G2661" s="19"/>
      <c r="N2661" s="19"/>
      <c r="P2661" s="19"/>
      <c r="AL2661" s="19"/>
    </row>
    <row r="2662" spans="1:38" s="11" customFormat="1" x14ac:dyDescent="0.25">
      <c r="A2662" s="3"/>
      <c r="F2662" s="19"/>
      <c r="G2662" s="19"/>
      <c r="N2662" s="19"/>
      <c r="P2662" s="19"/>
      <c r="AL2662" s="19"/>
    </row>
    <row r="2663" spans="1:38" s="11" customFormat="1" x14ac:dyDescent="0.25">
      <c r="A2663" s="3"/>
      <c r="F2663" s="19"/>
      <c r="G2663" s="19"/>
      <c r="N2663" s="19"/>
      <c r="P2663" s="19"/>
      <c r="AL2663" s="19"/>
    </row>
    <row r="2664" spans="1:38" s="11" customFormat="1" x14ac:dyDescent="0.25">
      <c r="A2664" s="3"/>
      <c r="F2664" s="19"/>
      <c r="G2664" s="19"/>
      <c r="N2664" s="19"/>
      <c r="P2664" s="19"/>
      <c r="AL2664" s="19"/>
    </row>
    <row r="2665" spans="1:38" s="11" customFormat="1" x14ac:dyDescent="0.25">
      <c r="A2665" s="3"/>
      <c r="F2665" s="19"/>
      <c r="G2665" s="19"/>
      <c r="N2665" s="19"/>
      <c r="P2665" s="19"/>
      <c r="AL2665" s="19"/>
    </row>
    <row r="2666" spans="1:38" s="11" customFormat="1" x14ac:dyDescent="0.25">
      <c r="A2666" s="3"/>
      <c r="F2666" s="19"/>
      <c r="G2666" s="19"/>
      <c r="N2666" s="19"/>
      <c r="P2666" s="19"/>
      <c r="AL2666" s="19"/>
    </row>
    <row r="2667" spans="1:38" s="11" customFormat="1" x14ac:dyDescent="0.25">
      <c r="A2667" s="3"/>
      <c r="F2667" s="19"/>
      <c r="G2667" s="19"/>
      <c r="N2667" s="19"/>
      <c r="P2667" s="19"/>
      <c r="AL2667" s="19"/>
    </row>
    <row r="2668" spans="1:38" s="11" customFormat="1" x14ac:dyDescent="0.25">
      <c r="A2668" s="3"/>
      <c r="F2668" s="19"/>
      <c r="G2668" s="19"/>
      <c r="N2668" s="19"/>
      <c r="P2668" s="19"/>
      <c r="AL2668" s="19"/>
    </row>
    <row r="2669" spans="1:38" s="11" customFormat="1" x14ac:dyDescent="0.25">
      <c r="A2669" s="3"/>
      <c r="F2669" s="19"/>
      <c r="G2669" s="19"/>
      <c r="N2669" s="19"/>
      <c r="P2669" s="19"/>
      <c r="AL2669" s="19"/>
    </row>
    <row r="2670" spans="1:38" s="11" customFormat="1" x14ac:dyDescent="0.25">
      <c r="A2670" s="3"/>
      <c r="F2670" s="19"/>
      <c r="G2670" s="19"/>
      <c r="N2670" s="19"/>
      <c r="P2670" s="19"/>
      <c r="AL2670" s="19"/>
    </row>
    <row r="2671" spans="1:38" s="11" customFormat="1" x14ac:dyDescent="0.25">
      <c r="A2671" s="3"/>
      <c r="F2671" s="19"/>
      <c r="G2671" s="19"/>
      <c r="N2671" s="19"/>
      <c r="P2671" s="19"/>
      <c r="AL2671" s="19"/>
    </row>
    <row r="2672" spans="1:38" s="11" customFormat="1" x14ac:dyDescent="0.25">
      <c r="A2672" s="3"/>
      <c r="F2672" s="19"/>
      <c r="G2672" s="19"/>
      <c r="N2672" s="19"/>
      <c r="P2672" s="19"/>
      <c r="AL2672" s="19"/>
    </row>
    <row r="2673" spans="1:38" s="11" customFormat="1" x14ac:dyDescent="0.25">
      <c r="A2673" s="3"/>
      <c r="F2673" s="19"/>
      <c r="G2673" s="19"/>
      <c r="N2673" s="19"/>
      <c r="P2673" s="19"/>
      <c r="AL2673" s="19"/>
    </row>
    <row r="2674" spans="1:38" s="11" customFormat="1" x14ac:dyDescent="0.25">
      <c r="A2674" s="3"/>
      <c r="F2674" s="19"/>
      <c r="G2674" s="19"/>
      <c r="N2674" s="19"/>
      <c r="P2674" s="19"/>
      <c r="AL2674" s="19"/>
    </row>
    <row r="2675" spans="1:38" s="11" customFormat="1" x14ac:dyDescent="0.25">
      <c r="A2675" s="3"/>
      <c r="F2675" s="19"/>
      <c r="G2675" s="19"/>
      <c r="N2675" s="19"/>
      <c r="P2675" s="19"/>
      <c r="AL2675" s="19"/>
    </row>
    <row r="2676" spans="1:38" s="11" customFormat="1" x14ac:dyDescent="0.25">
      <c r="A2676" s="3"/>
      <c r="F2676" s="19"/>
      <c r="G2676" s="19"/>
      <c r="N2676" s="19"/>
      <c r="P2676" s="19"/>
      <c r="AL2676" s="19"/>
    </row>
    <row r="2677" spans="1:38" s="11" customFormat="1" x14ac:dyDescent="0.25">
      <c r="A2677" s="3"/>
      <c r="F2677" s="19"/>
      <c r="G2677" s="19"/>
      <c r="N2677" s="19"/>
      <c r="P2677" s="19"/>
      <c r="AL2677" s="19"/>
    </row>
    <row r="2678" spans="1:38" s="11" customFormat="1" x14ac:dyDescent="0.25">
      <c r="A2678" s="3"/>
      <c r="F2678" s="19"/>
      <c r="G2678" s="19"/>
      <c r="N2678" s="19"/>
      <c r="P2678" s="19"/>
      <c r="AL2678" s="19"/>
    </row>
    <row r="2679" spans="1:38" s="11" customFormat="1" x14ac:dyDescent="0.25">
      <c r="A2679" s="3"/>
      <c r="F2679" s="19"/>
      <c r="G2679" s="19"/>
      <c r="N2679" s="19"/>
      <c r="P2679" s="19"/>
      <c r="AL2679" s="19"/>
    </row>
    <row r="2680" spans="1:38" s="11" customFormat="1" x14ac:dyDescent="0.25">
      <c r="A2680" s="3"/>
      <c r="F2680" s="19"/>
      <c r="G2680" s="19"/>
      <c r="N2680" s="19"/>
      <c r="P2680" s="19"/>
      <c r="AL2680" s="19"/>
    </row>
    <row r="2681" spans="1:38" s="11" customFormat="1" x14ac:dyDescent="0.25">
      <c r="A2681" s="3"/>
      <c r="F2681" s="19"/>
      <c r="G2681" s="19"/>
      <c r="N2681" s="19"/>
      <c r="P2681" s="19"/>
      <c r="AL2681" s="19"/>
    </row>
    <row r="2682" spans="1:38" s="11" customFormat="1" x14ac:dyDescent="0.25">
      <c r="A2682" s="3"/>
      <c r="F2682" s="19"/>
      <c r="G2682" s="19"/>
      <c r="N2682" s="19"/>
      <c r="P2682" s="19"/>
      <c r="AL2682" s="19"/>
    </row>
    <row r="2683" spans="1:38" s="11" customFormat="1" x14ac:dyDescent="0.25">
      <c r="A2683" s="3"/>
      <c r="F2683" s="19"/>
      <c r="G2683" s="19"/>
      <c r="N2683" s="19"/>
      <c r="P2683" s="19"/>
      <c r="AL2683" s="19"/>
    </row>
    <row r="2684" spans="1:38" s="11" customFormat="1" x14ac:dyDescent="0.25">
      <c r="A2684" s="3"/>
      <c r="F2684" s="19"/>
      <c r="G2684" s="19"/>
      <c r="N2684" s="19"/>
      <c r="P2684" s="19"/>
      <c r="AL2684" s="19"/>
    </row>
    <row r="2685" spans="1:38" s="11" customFormat="1" x14ac:dyDescent="0.25">
      <c r="A2685" s="3"/>
      <c r="F2685" s="19"/>
      <c r="G2685" s="19"/>
      <c r="N2685" s="19"/>
      <c r="P2685" s="19"/>
      <c r="AL2685" s="19"/>
    </row>
    <row r="2686" spans="1:38" s="11" customFormat="1" x14ac:dyDescent="0.25">
      <c r="A2686" s="3"/>
      <c r="F2686" s="19"/>
      <c r="G2686" s="19"/>
      <c r="N2686" s="19"/>
      <c r="P2686" s="19"/>
      <c r="AL2686" s="19"/>
    </row>
    <row r="2687" spans="1:38" s="11" customFormat="1" x14ac:dyDescent="0.25">
      <c r="A2687" s="3"/>
      <c r="F2687" s="19"/>
      <c r="G2687" s="19"/>
      <c r="N2687" s="19"/>
      <c r="P2687" s="19"/>
      <c r="AL2687" s="19"/>
    </row>
    <row r="2688" spans="1:38" s="11" customFormat="1" x14ac:dyDescent="0.25">
      <c r="A2688" s="3"/>
      <c r="F2688" s="19"/>
      <c r="G2688" s="19"/>
      <c r="N2688" s="19"/>
      <c r="P2688" s="19"/>
      <c r="AL2688" s="19"/>
    </row>
    <row r="2689" spans="1:38" s="11" customFormat="1" x14ac:dyDescent="0.25">
      <c r="A2689" s="3"/>
      <c r="F2689" s="19"/>
      <c r="G2689" s="19"/>
      <c r="N2689" s="19"/>
      <c r="P2689" s="19"/>
      <c r="AL2689" s="19"/>
    </row>
    <row r="2690" spans="1:38" s="11" customFormat="1" x14ac:dyDescent="0.25">
      <c r="A2690" s="3"/>
      <c r="F2690" s="19"/>
      <c r="G2690" s="19"/>
      <c r="N2690" s="19"/>
      <c r="P2690" s="19"/>
      <c r="AL2690" s="19"/>
    </row>
    <row r="2691" spans="1:38" s="11" customFormat="1" x14ac:dyDescent="0.25">
      <c r="A2691" s="3"/>
      <c r="F2691" s="19"/>
      <c r="G2691" s="19"/>
      <c r="N2691" s="19"/>
      <c r="P2691" s="19"/>
      <c r="AL2691" s="19"/>
    </row>
    <row r="2692" spans="1:38" s="11" customFormat="1" x14ac:dyDescent="0.25">
      <c r="A2692" s="3"/>
      <c r="F2692" s="19"/>
      <c r="G2692" s="19"/>
      <c r="N2692" s="19"/>
      <c r="P2692" s="19"/>
      <c r="AL2692" s="19"/>
    </row>
    <row r="2693" spans="1:38" s="11" customFormat="1" x14ac:dyDescent="0.25">
      <c r="A2693" s="3"/>
      <c r="F2693" s="19"/>
      <c r="G2693" s="19"/>
      <c r="N2693" s="19"/>
      <c r="P2693" s="19"/>
      <c r="AL2693" s="19"/>
    </row>
    <row r="2694" spans="1:38" s="11" customFormat="1" x14ac:dyDescent="0.25">
      <c r="A2694" s="3"/>
      <c r="F2694" s="19"/>
      <c r="G2694" s="19"/>
      <c r="N2694" s="19"/>
      <c r="P2694" s="19"/>
      <c r="AL2694" s="19"/>
    </row>
    <row r="2695" spans="1:38" s="11" customFormat="1" x14ac:dyDescent="0.25">
      <c r="A2695" s="3"/>
      <c r="F2695" s="19"/>
      <c r="G2695" s="19"/>
      <c r="N2695" s="19"/>
      <c r="P2695" s="19"/>
      <c r="AL2695" s="19"/>
    </row>
    <row r="2696" spans="1:38" s="11" customFormat="1" x14ac:dyDescent="0.25">
      <c r="A2696" s="3"/>
      <c r="F2696" s="19"/>
      <c r="G2696" s="19"/>
      <c r="N2696" s="19"/>
      <c r="P2696" s="19"/>
      <c r="AL2696" s="19"/>
    </row>
    <row r="2697" spans="1:38" s="11" customFormat="1" x14ac:dyDescent="0.25">
      <c r="A2697" s="3"/>
      <c r="F2697" s="19"/>
      <c r="G2697" s="19"/>
      <c r="N2697" s="19"/>
      <c r="P2697" s="19"/>
      <c r="AL2697" s="19"/>
    </row>
    <row r="2698" spans="1:38" s="11" customFormat="1" x14ac:dyDescent="0.25">
      <c r="A2698" s="3"/>
      <c r="F2698" s="19"/>
      <c r="G2698" s="19"/>
      <c r="N2698" s="19"/>
      <c r="P2698" s="19"/>
      <c r="AL2698" s="19"/>
    </row>
    <row r="2699" spans="1:38" s="11" customFormat="1" x14ac:dyDescent="0.25">
      <c r="A2699" s="3"/>
      <c r="F2699" s="19"/>
      <c r="G2699" s="19"/>
      <c r="N2699" s="19"/>
      <c r="P2699" s="19"/>
      <c r="AL2699" s="19"/>
    </row>
    <row r="2700" spans="1:38" s="11" customFormat="1" x14ac:dyDescent="0.25">
      <c r="A2700" s="3"/>
      <c r="F2700" s="19"/>
      <c r="G2700" s="19"/>
      <c r="N2700" s="19"/>
      <c r="P2700" s="19"/>
      <c r="AL2700" s="19"/>
    </row>
    <row r="2701" spans="1:38" s="11" customFormat="1" x14ac:dyDescent="0.25">
      <c r="A2701" s="3"/>
      <c r="F2701" s="19"/>
      <c r="G2701" s="19"/>
      <c r="N2701" s="19"/>
      <c r="P2701" s="19"/>
      <c r="AL2701" s="19"/>
    </row>
    <row r="2702" spans="1:38" s="11" customFormat="1" x14ac:dyDescent="0.25">
      <c r="A2702" s="3"/>
      <c r="F2702" s="19"/>
      <c r="G2702" s="19"/>
      <c r="N2702" s="19"/>
      <c r="P2702" s="19"/>
      <c r="AL2702" s="19"/>
    </row>
    <row r="2703" spans="1:38" s="11" customFormat="1" x14ac:dyDescent="0.25">
      <c r="A2703" s="3"/>
      <c r="F2703" s="19"/>
      <c r="G2703" s="19"/>
      <c r="N2703" s="19"/>
      <c r="P2703" s="19"/>
      <c r="AL2703" s="19"/>
    </row>
    <row r="2704" spans="1:38" s="11" customFormat="1" x14ac:dyDescent="0.25">
      <c r="A2704" s="3"/>
      <c r="F2704" s="19"/>
      <c r="G2704" s="19"/>
      <c r="N2704" s="19"/>
      <c r="P2704" s="19"/>
      <c r="AL2704" s="19"/>
    </row>
    <row r="2705" spans="1:38" s="11" customFormat="1" x14ac:dyDescent="0.25">
      <c r="A2705" s="3"/>
      <c r="F2705" s="19"/>
      <c r="G2705" s="19"/>
      <c r="N2705" s="19"/>
      <c r="P2705" s="19"/>
      <c r="AL2705" s="19"/>
    </row>
    <row r="2706" spans="1:38" s="11" customFormat="1" x14ac:dyDescent="0.25">
      <c r="A2706" s="3"/>
      <c r="F2706" s="19"/>
      <c r="G2706" s="19"/>
      <c r="N2706" s="19"/>
      <c r="P2706" s="19"/>
      <c r="AL2706" s="19"/>
    </row>
    <row r="2707" spans="1:38" s="11" customFormat="1" x14ac:dyDescent="0.25">
      <c r="A2707" s="3"/>
      <c r="F2707" s="19"/>
      <c r="G2707" s="19"/>
      <c r="N2707" s="19"/>
      <c r="P2707" s="19"/>
      <c r="AL2707" s="19"/>
    </row>
    <row r="2708" spans="1:38" s="11" customFormat="1" x14ac:dyDescent="0.25">
      <c r="A2708" s="3"/>
      <c r="F2708" s="19"/>
      <c r="G2708" s="19"/>
      <c r="N2708" s="19"/>
      <c r="P2708" s="19"/>
      <c r="AL2708" s="19"/>
    </row>
    <row r="2709" spans="1:38" s="11" customFormat="1" x14ac:dyDescent="0.25">
      <c r="A2709" s="3"/>
      <c r="F2709" s="19"/>
      <c r="G2709" s="19"/>
      <c r="N2709" s="19"/>
      <c r="P2709" s="19"/>
      <c r="AL2709" s="19"/>
    </row>
    <row r="2710" spans="1:38" s="11" customFormat="1" x14ac:dyDescent="0.25">
      <c r="A2710" s="3"/>
      <c r="F2710" s="19"/>
      <c r="G2710" s="19"/>
      <c r="N2710" s="19"/>
      <c r="P2710" s="19"/>
      <c r="AL2710" s="19"/>
    </row>
    <row r="2711" spans="1:38" s="11" customFormat="1" x14ac:dyDescent="0.25">
      <c r="A2711" s="3"/>
      <c r="F2711" s="19"/>
      <c r="G2711" s="19"/>
      <c r="N2711" s="19"/>
      <c r="P2711" s="19"/>
      <c r="AL2711" s="19"/>
    </row>
    <row r="2712" spans="1:38" s="11" customFormat="1" x14ac:dyDescent="0.25">
      <c r="A2712" s="3"/>
      <c r="F2712" s="19"/>
      <c r="G2712" s="19"/>
      <c r="N2712" s="19"/>
      <c r="P2712" s="19"/>
      <c r="AL2712" s="19"/>
    </row>
    <row r="2713" spans="1:38" s="11" customFormat="1" x14ac:dyDescent="0.25">
      <c r="A2713" s="3"/>
      <c r="F2713" s="19"/>
      <c r="G2713" s="19"/>
      <c r="N2713" s="19"/>
      <c r="P2713" s="19"/>
      <c r="AL2713" s="19"/>
    </row>
    <row r="2714" spans="1:38" s="11" customFormat="1" x14ac:dyDescent="0.25">
      <c r="A2714" s="3"/>
      <c r="F2714" s="19"/>
      <c r="G2714" s="19"/>
      <c r="N2714" s="19"/>
      <c r="P2714" s="19"/>
      <c r="AL2714" s="19"/>
    </row>
    <row r="2715" spans="1:38" s="11" customFormat="1" x14ac:dyDescent="0.25">
      <c r="A2715" s="3"/>
      <c r="F2715" s="19"/>
      <c r="G2715" s="19"/>
      <c r="N2715" s="19"/>
      <c r="P2715" s="19"/>
      <c r="AL2715" s="19"/>
    </row>
    <row r="2716" spans="1:38" s="11" customFormat="1" x14ac:dyDescent="0.25">
      <c r="A2716" s="3"/>
      <c r="F2716" s="19"/>
      <c r="G2716" s="19"/>
      <c r="N2716" s="19"/>
      <c r="P2716" s="19"/>
      <c r="AL2716" s="19"/>
    </row>
    <row r="2717" spans="1:38" s="11" customFormat="1" x14ac:dyDescent="0.25">
      <c r="A2717" s="3"/>
      <c r="F2717" s="19"/>
      <c r="G2717" s="19"/>
      <c r="N2717" s="19"/>
      <c r="P2717" s="19"/>
      <c r="AL2717" s="19"/>
    </row>
    <row r="2718" spans="1:38" s="11" customFormat="1" x14ac:dyDescent="0.25">
      <c r="A2718" s="3"/>
      <c r="F2718" s="19"/>
      <c r="G2718" s="19"/>
      <c r="N2718" s="19"/>
      <c r="P2718" s="19"/>
      <c r="AL2718" s="19"/>
    </row>
    <row r="2719" spans="1:38" s="11" customFormat="1" x14ac:dyDescent="0.25">
      <c r="A2719" s="3"/>
      <c r="F2719" s="19"/>
      <c r="G2719" s="19"/>
      <c r="N2719" s="19"/>
      <c r="P2719" s="19"/>
      <c r="AL2719" s="19"/>
    </row>
    <row r="2720" spans="1:38" s="11" customFormat="1" x14ac:dyDescent="0.25">
      <c r="A2720" s="3"/>
      <c r="F2720" s="19"/>
      <c r="G2720" s="19"/>
      <c r="N2720" s="19"/>
      <c r="P2720" s="19"/>
      <c r="AL2720" s="19"/>
    </row>
    <row r="2721" spans="1:38" s="11" customFormat="1" x14ac:dyDescent="0.25">
      <c r="A2721" s="3"/>
      <c r="F2721" s="19"/>
      <c r="G2721" s="19"/>
      <c r="N2721" s="19"/>
      <c r="P2721" s="19"/>
      <c r="AL2721" s="19"/>
    </row>
    <row r="2722" spans="1:38" s="11" customFormat="1" x14ac:dyDescent="0.25">
      <c r="A2722" s="3"/>
      <c r="F2722" s="19"/>
      <c r="G2722" s="19"/>
      <c r="N2722" s="19"/>
      <c r="P2722" s="19"/>
      <c r="AL2722" s="19"/>
    </row>
    <row r="2723" spans="1:38" s="11" customFormat="1" x14ac:dyDescent="0.25">
      <c r="A2723" s="3"/>
      <c r="F2723" s="19"/>
      <c r="G2723" s="19"/>
      <c r="N2723" s="19"/>
      <c r="P2723" s="19"/>
      <c r="AL2723" s="19"/>
    </row>
    <row r="2724" spans="1:38" s="11" customFormat="1" x14ac:dyDescent="0.25">
      <c r="A2724" s="3"/>
      <c r="F2724" s="19"/>
      <c r="G2724" s="19"/>
      <c r="N2724" s="19"/>
      <c r="P2724" s="19"/>
      <c r="AL2724" s="19"/>
    </row>
    <row r="2725" spans="1:38" s="11" customFormat="1" x14ac:dyDescent="0.25">
      <c r="A2725" s="3"/>
      <c r="F2725" s="19"/>
      <c r="G2725" s="19"/>
      <c r="N2725" s="19"/>
      <c r="P2725" s="19"/>
      <c r="AL2725" s="19"/>
    </row>
    <row r="2726" spans="1:38" s="11" customFormat="1" x14ac:dyDescent="0.25">
      <c r="A2726" s="3"/>
      <c r="F2726" s="19"/>
      <c r="G2726" s="19"/>
      <c r="N2726" s="19"/>
      <c r="P2726" s="19"/>
      <c r="AL2726" s="19"/>
    </row>
    <row r="2727" spans="1:38" s="11" customFormat="1" x14ac:dyDescent="0.25">
      <c r="A2727" s="3"/>
      <c r="F2727" s="19"/>
      <c r="G2727" s="19"/>
      <c r="N2727" s="19"/>
      <c r="P2727" s="19"/>
      <c r="AL2727" s="19"/>
    </row>
    <row r="2728" spans="1:38" s="11" customFormat="1" x14ac:dyDescent="0.25">
      <c r="A2728" s="3"/>
      <c r="F2728" s="19"/>
      <c r="G2728" s="19"/>
      <c r="N2728" s="19"/>
      <c r="P2728" s="19"/>
      <c r="AL2728" s="19"/>
    </row>
    <row r="2729" spans="1:38" s="11" customFormat="1" x14ac:dyDescent="0.25">
      <c r="A2729" s="3"/>
      <c r="F2729" s="19"/>
      <c r="G2729" s="19"/>
      <c r="N2729" s="19"/>
      <c r="P2729" s="19"/>
      <c r="AL2729" s="19"/>
    </row>
    <row r="2730" spans="1:38" s="11" customFormat="1" x14ac:dyDescent="0.25">
      <c r="A2730" s="3"/>
      <c r="F2730" s="19"/>
      <c r="G2730" s="19"/>
      <c r="N2730" s="19"/>
      <c r="P2730" s="19"/>
      <c r="AL2730" s="19"/>
    </row>
    <row r="2731" spans="1:38" s="11" customFormat="1" x14ac:dyDescent="0.25">
      <c r="A2731" s="3"/>
      <c r="F2731" s="19"/>
      <c r="G2731" s="19"/>
      <c r="N2731" s="19"/>
      <c r="P2731" s="19"/>
      <c r="AL2731" s="19"/>
    </row>
    <row r="2732" spans="1:38" s="11" customFormat="1" x14ac:dyDescent="0.25">
      <c r="A2732" s="3"/>
      <c r="F2732" s="19"/>
      <c r="G2732" s="19"/>
      <c r="N2732" s="19"/>
      <c r="P2732" s="19"/>
      <c r="AL2732" s="19"/>
    </row>
    <row r="2733" spans="1:38" s="11" customFormat="1" x14ac:dyDescent="0.25">
      <c r="A2733" s="3"/>
      <c r="F2733" s="19"/>
      <c r="G2733" s="19"/>
      <c r="N2733" s="19"/>
      <c r="P2733" s="19"/>
      <c r="AL2733" s="19"/>
    </row>
    <row r="2734" spans="1:38" s="11" customFormat="1" x14ac:dyDescent="0.25">
      <c r="A2734" s="3"/>
      <c r="F2734" s="19"/>
      <c r="G2734" s="19"/>
      <c r="N2734" s="19"/>
      <c r="P2734" s="19"/>
      <c r="AL2734" s="19"/>
    </row>
    <row r="2735" spans="1:38" s="11" customFormat="1" x14ac:dyDescent="0.25">
      <c r="A2735" s="3"/>
      <c r="F2735" s="19"/>
      <c r="G2735" s="19"/>
      <c r="N2735" s="19"/>
      <c r="P2735" s="19"/>
      <c r="AL2735" s="19"/>
    </row>
    <row r="2736" spans="1:38" s="11" customFormat="1" x14ac:dyDescent="0.25">
      <c r="A2736" s="3"/>
      <c r="F2736" s="19"/>
      <c r="G2736" s="19"/>
      <c r="N2736" s="19"/>
      <c r="P2736" s="19"/>
      <c r="AL2736" s="19"/>
    </row>
    <row r="2737" spans="1:38" s="11" customFormat="1" x14ac:dyDescent="0.25">
      <c r="A2737" s="3"/>
      <c r="F2737" s="19"/>
      <c r="G2737" s="19"/>
      <c r="N2737" s="19"/>
      <c r="P2737" s="19"/>
      <c r="AL2737" s="19"/>
    </row>
    <row r="2738" spans="1:38" s="11" customFormat="1" x14ac:dyDescent="0.25">
      <c r="A2738" s="3"/>
      <c r="F2738" s="19"/>
      <c r="G2738" s="19"/>
      <c r="N2738" s="19"/>
      <c r="P2738" s="19"/>
      <c r="AL2738" s="19"/>
    </row>
    <row r="2739" spans="1:38" s="11" customFormat="1" x14ac:dyDescent="0.25">
      <c r="A2739" s="3"/>
      <c r="F2739" s="19"/>
      <c r="G2739" s="19"/>
      <c r="N2739" s="19"/>
      <c r="P2739" s="19"/>
      <c r="AL2739" s="19"/>
    </row>
    <row r="2740" spans="1:38" s="11" customFormat="1" x14ac:dyDescent="0.25">
      <c r="A2740" s="3"/>
      <c r="F2740" s="19"/>
      <c r="G2740" s="19"/>
      <c r="N2740" s="19"/>
      <c r="P2740" s="19"/>
      <c r="AL2740" s="19"/>
    </row>
    <row r="2741" spans="1:38" s="11" customFormat="1" x14ac:dyDescent="0.25">
      <c r="A2741" s="3"/>
      <c r="F2741" s="19"/>
      <c r="G2741" s="19"/>
      <c r="N2741" s="19"/>
      <c r="P2741" s="19"/>
      <c r="AL2741" s="19"/>
    </row>
    <row r="2742" spans="1:38" s="11" customFormat="1" x14ac:dyDescent="0.25">
      <c r="A2742" s="3"/>
      <c r="F2742" s="19"/>
      <c r="G2742" s="19"/>
      <c r="N2742" s="19"/>
      <c r="P2742" s="19"/>
      <c r="AL2742" s="19"/>
    </row>
    <row r="2743" spans="1:38" s="11" customFormat="1" x14ac:dyDescent="0.25">
      <c r="A2743" s="3"/>
      <c r="F2743" s="19"/>
      <c r="G2743" s="19"/>
      <c r="N2743" s="19"/>
      <c r="P2743" s="19"/>
      <c r="AL2743" s="19"/>
    </row>
    <row r="2744" spans="1:38" s="11" customFormat="1" x14ac:dyDescent="0.25">
      <c r="A2744" s="3"/>
      <c r="F2744" s="19"/>
      <c r="G2744" s="19"/>
      <c r="N2744" s="19"/>
      <c r="P2744" s="19"/>
      <c r="AL2744" s="19"/>
    </row>
    <row r="2745" spans="1:38" s="11" customFormat="1" x14ac:dyDescent="0.25">
      <c r="A2745" s="3"/>
      <c r="F2745" s="19"/>
      <c r="G2745" s="19"/>
      <c r="N2745" s="19"/>
      <c r="P2745" s="19"/>
      <c r="AL2745" s="19"/>
    </row>
    <row r="2746" spans="1:38" s="11" customFormat="1" x14ac:dyDescent="0.25">
      <c r="A2746" s="3"/>
      <c r="F2746" s="19"/>
      <c r="G2746" s="19"/>
      <c r="N2746" s="19"/>
      <c r="P2746" s="19"/>
      <c r="AL2746" s="19"/>
    </row>
    <row r="2747" spans="1:38" s="11" customFormat="1" x14ac:dyDescent="0.25">
      <c r="A2747" s="3"/>
      <c r="F2747" s="19"/>
      <c r="G2747" s="19"/>
      <c r="N2747" s="19"/>
      <c r="P2747" s="19"/>
      <c r="AL2747" s="19"/>
    </row>
    <row r="2748" spans="1:38" s="11" customFormat="1" x14ac:dyDescent="0.25">
      <c r="A2748" s="3"/>
      <c r="F2748" s="19"/>
      <c r="G2748" s="19"/>
      <c r="N2748" s="19"/>
      <c r="P2748" s="19"/>
      <c r="AL2748" s="19"/>
    </row>
    <row r="2749" spans="1:38" s="11" customFormat="1" x14ac:dyDescent="0.25">
      <c r="A2749" s="3"/>
      <c r="F2749" s="19"/>
      <c r="G2749" s="19"/>
      <c r="N2749" s="19"/>
      <c r="P2749" s="19"/>
      <c r="AL2749" s="19"/>
    </row>
    <row r="2750" spans="1:38" s="11" customFormat="1" x14ac:dyDescent="0.25">
      <c r="A2750" s="3"/>
      <c r="F2750" s="19"/>
      <c r="G2750" s="19"/>
      <c r="N2750" s="19"/>
      <c r="P2750" s="19"/>
      <c r="AL2750" s="19"/>
    </row>
    <row r="2751" spans="1:38" s="11" customFormat="1" x14ac:dyDescent="0.25">
      <c r="A2751" s="3"/>
      <c r="F2751" s="19"/>
      <c r="G2751" s="19"/>
      <c r="N2751" s="19"/>
      <c r="P2751" s="19"/>
      <c r="AL2751" s="19"/>
    </row>
    <row r="2752" spans="1:38" s="11" customFormat="1" x14ac:dyDescent="0.25">
      <c r="A2752" s="3"/>
      <c r="F2752" s="19"/>
      <c r="G2752" s="19"/>
      <c r="N2752" s="19"/>
      <c r="P2752" s="19"/>
      <c r="AL2752" s="19"/>
    </row>
    <row r="2753" spans="1:38" s="11" customFormat="1" x14ac:dyDescent="0.25">
      <c r="A2753" s="3"/>
      <c r="F2753" s="19"/>
      <c r="G2753" s="19"/>
      <c r="N2753" s="19"/>
      <c r="P2753" s="19"/>
      <c r="AL2753" s="19"/>
    </row>
    <row r="2754" spans="1:38" s="11" customFormat="1" x14ac:dyDescent="0.25">
      <c r="A2754" s="3"/>
      <c r="F2754" s="19"/>
      <c r="G2754" s="19"/>
      <c r="N2754" s="19"/>
      <c r="P2754" s="19"/>
      <c r="AL2754" s="19"/>
    </row>
    <row r="2755" spans="1:38" s="11" customFormat="1" x14ac:dyDescent="0.25">
      <c r="A2755" s="3"/>
      <c r="F2755" s="19"/>
      <c r="G2755" s="19"/>
      <c r="N2755" s="19"/>
      <c r="P2755" s="19"/>
      <c r="AL2755" s="19"/>
    </row>
    <row r="2756" spans="1:38" s="11" customFormat="1" x14ac:dyDescent="0.25">
      <c r="A2756" s="3"/>
      <c r="F2756" s="19"/>
      <c r="G2756" s="19"/>
      <c r="N2756" s="19"/>
      <c r="P2756" s="19"/>
      <c r="AL2756" s="19"/>
    </row>
    <row r="2757" spans="1:38" s="11" customFormat="1" x14ac:dyDescent="0.25">
      <c r="A2757" s="3"/>
      <c r="F2757" s="19"/>
      <c r="G2757" s="19"/>
      <c r="N2757" s="19"/>
      <c r="P2757" s="19"/>
      <c r="AL2757" s="19"/>
    </row>
    <row r="2758" spans="1:38" s="11" customFormat="1" x14ac:dyDescent="0.25">
      <c r="A2758" s="3"/>
      <c r="F2758" s="19"/>
      <c r="G2758" s="19"/>
      <c r="N2758" s="19"/>
      <c r="P2758" s="19"/>
      <c r="AL2758" s="19"/>
    </row>
    <row r="2759" spans="1:38" s="11" customFormat="1" x14ac:dyDescent="0.25">
      <c r="A2759" s="3"/>
      <c r="F2759" s="19"/>
      <c r="G2759" s="19"/>
      <c r="N2759" s="19"/>
      <c r="P2759" s="19"/>
      <c r="AL2759" s="19"/>
    </row>
    <row r="2760" spans="1:38" s="11" customFormat="1" x14ac:dyDescent="0.25">
      <c r="A2760" s="3"/>
      <c r="F2760" s="19"/>
      <c r="G2760" s="19"/>
      <c r="N2760" s="19"/>
      <c r="P2760" s="19"/>
      <c r="AL2760" s="19"/>
    </row>
    <row r="2761" spans="1:38" s="11" customFormat="1" x14ac:dyDescent="0.25">
      <c r="A2761" s="3"/>
      <c r="F2761" s="19"/>
      <c r="G2761" s="19"/>
      <c r="N2761" s="19"/>
      <c r="P2761" s="19"/>
      <c r="AL2761" s="19"/>
    </row>
    <row r="2762" spans="1:38" s="11" customFormat="1" x14ac:dyDescent="0.25">
      <c r="A2762" s="3"/>
      <c r="F2762" s="19"/>
      <c r="G2762" s="19"/>
      <c r="N2762" s="19"/>
      <c r="P2762" s="19"/>
      <c r="AL2762" s="19"/>
    </row>
    <row r="2763" spans="1:38" s="11" customFormat="1" x14ac:dyDescent="0.25">
      <c r="A2763" s="3"/>
      <c r="F2763" s="19"/>
      <c r="G2763" s="19"/>
      <c r="N2763" s="19"/>
      <c r="P2763" s="19"/>
      <c r="AL2763" s="19"/>
    </row>
    <row r="2764" spans="1:38" s="11" customFormat="1" x14ac:dyDescent="0.25">
      <c r="A2764" s="3"/>
      <c r="F2764" s="19"/>
      <c r="G2764" s="19"/>
      <c r="N2764" s="19"/>
      <c r="P2764" s="19"/>
      <c r="AL2764" s="19"/>
    </row>
    <row r="2765" spans="1:38" s="11" customFormat="1" x14ac:dyDescent="0.25">
      <c r="A2765" s="3"/>
      <c r="F2765" s="19"/>
      <c r="G2765" s="19"/>
      <c r="N2765" s="19"/>
      <c r="P2765" s="19"/>
      <c r="AL2765" s="19"/>
    </row>
    <row r="2766" spans="1:38" s="11" customFormat="1" x14ac:dyDescent="0.25">
      <c r="A2766" s="3"/>
      <c r="F2766" s="19"/>
      <c r="G2766" s="19"/>
      <c r="N2766" s="19"/>
      <c r="P2766" s="19"/>
      <c r="AL2766" s="19"/>
    </row>
    <row r="2767" spans="1:38" s="11" customFormat="1" x14ac:dyDescent="0.25">
      <c r="A2767" s="3"/>
      <c r="F2767" s="19"/>
      <c r="G2767" s="19"/>
      <c r="N2767" s="19"/>
      <c r="P2767" s="19"/>
      <c r="AL2767" s="19"/>
    </row>
    <row r="2768" spans="1:38" s="11" customFormat="1" x14ac:dyDescent="0.25">
      <c r="A2768" s="3"/>
      <c r="F2768" s="19"/>
      <c r="G2768" s="19"/>
      <c r="N2768" s="19"/>
      <c r="P2768" s="19"/>
      <c r="AL2768" s="19"/>
    </row>
    <row r="2769" spans="1:38" s="11" customFormat="1" x14ac:dyDescent="0.25">
      <c r="A2769" s="3"/>
      <c r="F2769" s="19"/>
      <c r="G2769" s="19"/>
      <c r="N2769" s="19"/>
      <c r="P2769" s="19"/>
      <c r="AL2769" s="19"/>
    </row>
    <row r="2770" spans="1:38" s="11" customFormat="1" x14ac:dyDescent="0.25">
      <c r="A2770" s="3"/>
      <c r="F2770" s="19"/>
      <c r="G2770" s="19"/>
      <c r="N2770" s="19"/>
      <c r="P2770" s="19"/>
      <c r="AL2770" s="19"/>
    </row>
    <row r="2771" spans="1:38" s="11" customFormat="1" x14ac:dyDescent="0.25">
      <c r="A2771" s="3"/>
      <c r="F2771" s="19"/>
      <c r="G2771" s="19"/>
      <c r="N2771" s="19"/>
      <c r="P2771" s="19"/>
      <c r="AL2771" s="19"/>
    </row>
    <row r="2772" spans="1:38" s="11" customFormat="1" x14ac:dyDescent="0.25">
      <c r="A2772" s="3"/>
      <c r="F2772" s="19"/>
      <c r="G2772" s="19"/>
      <c r="N2772" s="19"/>
      <c r="P2772" s="19"/>
      <c r="AL2772" s="19"/>
    </row>
    <row r="2773" spans="1:38" s="11" customFormat="1" x14ac:dyDescent="0.25">
      <c r="A2773" s="3"/>
      <c r="F2773" s="19"/>
      <c r="G2773" s="19"/>
      <c r="N2773" s="19"/>
      <c r="P2773" s="19"/>
      <c r="AL2773" s="19"/>
    </row>
    <row r="2774" spans="1:38" s="11" customFormat="1" x14ac:dyDescent="0.25">
      <c r="A2774" s="3"/>
      <c r="F2774" s="19"/>
      <c r="G2774" s="19"/>
      <c r="N2774" s="19"/>
      <c r="P2774" s="19"/>
      <c r="AL2774" s="19"/>
    </row>
    <row r="2775" spans="1:38" s="11" customFormat="1" x14ac:dyDescent="0.25">
      <c r="A2775" s="3"/>
      <c r="F2775" s="19"/>
      <c r="G2775" s="19"/>
      <c r="N2775" s="19"/>
      <c r="P2775" s="19"/>
      <c r="AL2775" s="19"/>
    </row>
    <row r="2776" spans="1:38" s="11" customFormat="1" x14ac:dyDescent="0.25">
      <c r="A2776" s="3"/>
      <c r="F2776" s="19"/>
      <c r="G2776" s="19"/>
      <c r="N2776" s="19"/>
      <c r="P2776" s="19"/>
      <c r="AL2776" s="19"/>
    </row>
    <row r="2777" spans="1:38" s="11" customFormat="1" x14ac:dyDescent="0.25">
      <c r="A2777" s="3"/>
      <c r="F2777" s="19"/>
      <c r="G2777" s="19"/>
      <c r="N2777" s="19"/>
      <c r="P2777" s="19"/>
      <c r="AL2777" s="19"/>
    </row>
    <row r="2778" spans="1:38" s="11" customFormat="1" x14ac:dyDescent="0.25">
      <c r="A2778" s="3"/>
      <c r="F2778" s="19"/>
      <c r="G2778" s="19"/>
      <c r="N2778" s="19"/>
      <c r="P2778" s="19"/>
      <c r="AL2778" s="19"/>
    </row>
    <row r="2779" spans="1:38" s="11" customFormat="1" x14ac:dyDescent="0.25">
      <c r="A2779" s="3"/>
      <c r="F2779" s="19"/>
      <c r="G2779" s="19"/>
      <c r="N2779" s="19"/>
      <c r="P2779" s="19"/>
      <c r="AL2779" s="19"/>
    </row>
    <row r="2780" spans="1:38" s="11" customFormat="1" x14ac:dyDescent="0.25">
      <c r="A2780" s="3"/>
      <c r="F2780" s="19"/>
      <c r="G2780" s="19"/>
      <c r="N2780" s="19"/>
      <c r="P2780" s="19"/>
      <c r="AL2780" s="19"/>
    </row>
    <row r="2781" spans="1:38" s="11" customFormat="1" x14ac:dyDescent="0.25">
      <c r="A2781" s="3"/>
      <c r="F2781" s="19"/>
      <c r="G2781" s="19"/>
      <c r="N2781" s="19"/>
      <c r="P2781" s="19"/>
      <c r="AL2781" s="19"/>
    </row>
    <row r="2782" spans="1:38" s="11" customFormat="1" x14ac:dyDescent="0.25">
      <c r="A2782" s="3"/>
      <c r="F2782" s="19"/>
      <c r="G2782" s="19"/>
      <c r="N2782" s="19"/>
      <c r="P2782" s="19"/>
      <c r="AL2782" s="19"/>
    </row>
    <row r="2783" spans="1:38" s="11" customFormat="1" x14ac:dyDescent="0.25">
      <c r="A2783" s="3"/>
      <c r="F2783" s="19"/>
      <c r="G2783" s="19"/>
      <c r="N2783" s="19"/>
      <c r="P2783" s="19"/>
      <c r="AL2783" s="19"/>
    </row>
    <row r="2784" spans="1:38" s="11" customFormat="1" x14ac:dyDescent="0.25">
      <c r="A2784" s="3"/>
      <c r="F2784" s="19"/>
      <c r="G2784" s="19"/>
      <c r="N2784" s="19"/>
      <c r="P2784" s="19"/>
      <c r="AL2784" s="19"/>
    </row>
    <row r="2785" spans="1:38" s="11" customFormat="1" x14ac:dyDescent="0.25">
      <c r="A2785" s="3"/>
      <c r="F2785" s="19"/>
      <c r="G2785" s="19"/>
      <c r="N2785" s="19"/>
      <c r="P2785" s="19"/>
      <c r="AL2785" s="19"/>
    </row>
    <row r="2786" spans="1:38" s="11" customFormat="1" x14ac:dyDescent="0.25">
      <c r="A2786" s="3"/>
      <c r="F2786" s="19"/>
      <c r="G2786" s="19"/>
      <c r="N2786" s="19"/>
      <c r="P2786" s="19"/>
      <c r="AL2786" s="19"/>
    </row>
    <row r="2787" spans="1:38" s="11" customFormat="1" x14ac:dyDescent="0.25">
      <c r="A2787" s="3"/>
      <c r="F2787" s="19"/>
      <c r="G2787" s="19"/>
      <c r="N2787" s="19"/>
      <c r="P2787" s="19"/>
      <c r="AL2787" s="19"/>
    </row>
    <row r="2788" spans="1:38" s="11" customFormat="1" x14ac:dyDescent="0.25">
      <c r="A2788" s="3"/>
      <c r="F2788" s="19"/>
      <c r="G2788" s="19"/>
      <c r="N2788" s="19"/>
      <c r="P2788" s="19"/>
      <c r="AL2788" s="19"/>
    </row>
    <row r="2789" spans="1:38" s="11" customFormat="1" x14ac:dyDescent="0.25">
      <c r="A2789" s="3"/>
      <c r="F2789" s="19"/>
      <c r="G2789" s="19"/>
      <c r="N2789" s="19"/>
      <c r="P2789" s="19"/>
      <c r="AL2789" s="19"/>
    </row>
    <row r="2790" spans="1:38" s="11" customFormat="1" x14ac:dyDescent="0.25">
      <c r="A2790" s="3"/>
      <c r="F2790" s="19"/>
      <c r="G2790" s="19"/>
      <c r="N2790" s="19"/>
      <c r="P2790" s="19"/>
      <c r="AL2790" s="19"/>
    </row>
    <row r="2791" spans="1:38" s="11" customFormat="1" x14ac:dyDescent="0.25">
      <c r="A2791" s="3"/>
      <c r="F2791" s="19"/>
      <c r="G2791" s="19"/>
      <c r="N2791" s="19"/>
      <c r="P2791" s="19"/>
      <c r="AL2791" s="19"/>
    </row>
    <row r="2792" spans="1:38" s="11" customFormat="1" x14ac:dyDescent="0.25">
      <c r="A2792" s="3"/>
      <c r="F2792" s="19"/>
      <c r="G2792" s="19"/>
      <c r="N2792" s="19"/>
      <c r="P2792" s="19"/>
      <c r="AL2792" s="19"/>
    </row>
    <row r="2793" spans="1:38" s="11" customFormat="1" x14ac:dyDescent="0.25">
      <c r="A2793" s="3"/>
      <c r="F2793" s="19"/>
      <c r="G2793" s="19"/>
      <c r="N2793" s="19"/>
      <c r="P2793" s="19"/>
      <c r="AL2793" s="19"/>
    </row>
    <row r="2794" spans="1:38" s="11" customFormat="1" x14ac:dyDescent="0.25">
      <c r="A2794" s="3"/>
      <c r="F2794" s="19"/>
      <c r="G2794" s="19"/>
      <c r="N2794" s="19"/>
      <c r="P2794" s="19"/>
      <c r="AL2794" s="19"/>
    </row>
    <row r="2795" spans="1:38" s="11" customFormat="1" x14ac:dyDescent="0.25">
      <c r="A2795" s="3"/>
      <c r="F2795" s="19"/>
      <c r="G2795" s="19"/>
      <c r="N2795" s="19"/>
      <c r="P2795" s="19"/>
      <c r="AL2795" s="19"/>
    </row>
    <row r="2796" spans="1:38" s="11" customFormat="1" x14ac:dyDescent="0.25">
      <c r="A2796" s="3"/>
      <c r="F2796" s="19"/>
      <c r="G2796" s="19"/>
      <c r="N2796" s="19"/>
      <c r="P2796" s="19"/>
      <c r="AL2796" s="19"/>
    </row>
    <row r="2797" spans="1:38" s="11" customFormat="1" x14ac:dyDescent="0.25">
      <c r="A2797" s="3"/>
      <c r="F2797" s="19"/>
      <c r="G2797" s="19"/>
      <c r="N2797" s="19"/>
      <c r="P2797" s="19"/>
      <c r="AL2797" s="19"/>
    </row>
    <row r="2798" spans="1:38" s="11" customFormat="1" x14ac:dyDescent="0.25">
      <c r="A2798" s="3"/>
      <c r="F2798" s="19"/>
      <c r="G2798" s="19"/>
      <c r="N2798" s="19"/>
      <c r="P2798" s="19"/>
      <c r="AL2798" s="19"/>
    </row>
    <row r="2799" spans="1:38" s="11" customFormat="1" x14ac:dyDescent="0.25">
      <c r="A2799" s="3"/>
      <c r="F2799" s="19"/>
      <c r="G2799" s="19"/>
      <c r="N2799" s="19"/>
      <c r="P2799" s="19"/>
      <c r="AL2799" s="19"/>
    </row>
    <row r="2800" spans="1:38" s="11" customFormat="1" x14ac:dyDescent="0.25">
      <c r="A2800" s="3"/>
      <c r="F2800" s="19"/>
      <c r="G2800" s="19"/>
      <c r="N2800" s="19"/>
      <c r="P2800" s="19"/>
      <c r="AL2800" s="19"/>
    </row>
    <row r="2801" spans="1:38" s="11" customFormat="1" x14ac:dyDescent="0.25">
      <c r="A2801" s="3"/>
      <c r="F2801" s="19"/>
      <c r="G2801" s="19"/>
      <c r="N2801" s="19"/>
      <c r="P2801" s="19"/>
      <c r="AL2801" s="19"/>
    </row>
    <row r="2802" spans="1:38" s="11" customFormat="1" x14ac:dyDescent="0.25">
      <c r="A2802" s="3"/>
      <c r="F2802" s="19"/>
      <c r="G2802" s="19"/>
      <c r="N2802" s="19"/>
      <c r="P2802" s="19"/>
      <c r="AL2802" s="19"/>
    </row>
    <row r="2803" spans="1:38" s="11" customFormat="1" x14ac:dyDescent="0.25">
      <c r="A2803" s="3"/>
      <c r="F2803" s="19"/>
      <c r="G2803" s="19"/>
      <c r="N2803" s="19"/>
      <c r="P2803" s="19"/>
      <c r="AL2803" s="19"/>
    </row>
    <row r="2804" spans="1:38" s="11" customFormat="1" x14ac:dyDescent="0.25">
      <c r="A2804" s="3"/>
      <c r="F2804" s="19"/>
      <c r="G2804" s="19"/>
      <c r="N2804" s="19"/>
      <c r="P2804" s="19"/>
      <c r="AL2804" s="19"/>
    </row>
    <row r="2805" spans="1:38" s="11" customFormat="1" x14ac:dyDescent="0.25">
      <c r="A2805" s="3"/>
      <c r="F2805" s="19"/>
      <c r="G2805" s="19"/>
      <c r="N2805" s="19"/>
      <c r="P2805" s="19"/>
      <c r="AL2805" s="19"/>
    </row>
    <row r="2806" spans="1:38" s="11" customFormat="1" x14ac:dyDescent="0.25">
      <c r="A2806" s="3"/>
      <c r="F2806" s="19"/>
      <c r="G2806" s="19"/>
      <c r="N2806" s="19"/>
      <c r="P2806" s="19"/>
      <c r="AL2806" s="19"/>
    </row>
    <row r="2807" spans="1:38" s="11" customFormat="1" x14ac:dyDescent="0.25">
      <c r="A2807" s="3"/>
      <c r="F2807" s="19"/>
      <c r="G2807" s="19"/>
      <c r="N2807" s="19"/>
      <c r="P2807" s="19"/>
      <c r="AL2807" s="19"/>
    </row>
    <row r="2808" spans="1:38" s="11" customFormat="1" x14ac:dyDescent="0.25">
      <c r="A2808" s="3"/>
      <c r="F2808" s="19"/>
      <c r="G2808" s="19"/>
      <c r="N2808" s="19"/>
      <c r="P2808" s="19"/>
      <c r="AL2808" s="19"/>
    </row>
    <row r="2809" spans="1:38" s="11" customFormat="1" x14ac:dyDescent="0.25">
      <c r="A2809" s="3"/>
      <c r="F2809" s="19"/>
      <c r="G2809" s="19"/>
      <c r="N2809" s="19"/>
      <c r="P2809" s="19"/>
      <c r="AL2809" s="19"/>
    </row>
    <row r="2810" spans="1:38" s="11" customFormat="1" x14ac:dyDescent="0.25">
      <c r="A2810" s="3"/>
      <c r="F2810" s="19"/>
      <c r="G2810" s="19"/>
      <c r="N2810" s="19"/>
      <c r="P2810" s="19"/>
      <c r="AL2810" s="19"/>
    </row>
    <row r="2811" spans="1:38" s="11" customFormat="1" x14ac:dyDescent="0.25">
      <c r="A2811" s="3"/>
      <c r="F2811" s="19"/>
      <c r="G2811" s="19"/>
      <c r="N2811" s="19"/>
      <c r="P2811" s="19"/>
      <c r="AL2811" s="19"/>
    </row>
    <row r="2812" spans="1:38" s="11" customFormat="1" x14ac:dyDescent="0.25">
      <c r="A2812" s="3"/>
      <c r="F2812" s="19"/>
      <c r="G2812" s="19"/>
      <c r="N2812" s="19"/>
      <c r="P2812" s="19"/>
      <c r="AL2812" s="19"/>
    </row>
    <row r="2813" spans="1:38" s="11" customFormat="1" x14ac:dyDescent="0.25">
      <c r="A2813" s="3"/>
      <c r="F2813" s="19"/>
      <c r="G2813" s="19"/>
      <c r="N2813" s="19"/>
      <c r="P2813" s="19"/>
      <c r="AL2813" s="19"/>
    </row>
    <row r="2814" spans="1:38" s="11" customFormat="1" x14ac:dyDescent="0.25">
      <c r="A2814" s="3"/>
      <c r="F2814" s="19"/>
      <c r="G2814" s="19"/>
      <c r="N2814" s="19"/>
      <c r="P2814" s="19"/>
      <c r="AL2814" s="19"/>
    </row>
    <row r="2815" spans="1:38" s="11" customFormat="1" x14ac:dyDescent="0.25">
      <c r="A2815" s="3"/>
      <c r="F2815" s="19"/>
      <c r="G2815" s="19"/>
      <c r="N2815" s="19"/>
      <c r="P2815" s="19"/>
      <c r="AL2815" s="19"/>
    </row>
    <row r="2816" spans="1:38" s="11" customFormat="1" x14ac:dyDescent="0.25">
      <c r="A2816" s="3"/>
      <c r="F2816" s="19"/>
      <c r="G2816" s="19"/>
      <c r="N2816" s="19"/>
      <c r="P2816" s="19"/>
      <c r="AL2816" s="19"/>
    </row>
    <row r="2817" spans="1:38" s="11" customFormat="1" x14ac:dyDescent="0.25">
      <c r="A2817" s="3"/>
      <c r="F2817" s="19"/>
      <c r="G2817" s="19"/>
      <c r="N2817" s="19"/>
      <c r="P2817" s="19"/>
      <c r="AL2817" s="19"/>
    </row>
    <row r="2818" spans="1:38" s="11" customFormat="1" x14ac:dyDescent="0.25">
      <c r="A2818" s="3"/>
      <c r="F2818" s="19"/>
      <c r="G2818" s="19"/>
      <c r="N2818" s="19"/>
      <c r="P2818" s="19"/>
      <c r="AL2818" s="19"/>
    </row>
    <row r="2819" spans="1:38" s="11" customFormat="1" x14ac:dyDescent="0.25">
      <c r="A2819" s="3"/>
      <c r="F2819" s="19"/>
      <c r="G2819" s="19"/>
      <c r="N2819" s="19"/>
      <c r="P2819" s="19"/>
      <c r="AL2819" s="19"/>
    </row>
    <row r="2820" spans="1:38" s="11" customFormat="1" x14ac:dyDescent="0.25">
      <c r="A2820" s="3"/>
      <c r="F2820" s="19"/>
      <c r="G2820" s="19"/>
      <c r="N2820" s="19"/>
      <c r="P2820" s="19"/>
      <c r="AL2820" s="19"/>
    </row>
    <row r="2821" spans="1:38" s="11" customFormat="1" x14ac:dyDescent="0.25">
      <c r="A2821" s="3"/>
      <c r="F2821" s="19"/>
      <c r="G2821" s="19"/>
      <c r="N2821" s="19"/>
      <c r="P2821" s="19"/>
      <c r="AL2821" s="19"/>
    </row>
    <row r="2822" spans="1:38" s="11" customFormat="1" x14ac:dyDescent="0.25">
      <c r="A2822" s="3"/>
      <c r="F2822" s="19"/>
      <c r="G2822" s="19"/>
      <c r="N2822" s="19"/>
      <c r="P2822" s="19"/>
      <c r="AL2822" s="19"/>
    </row>
    <row r="2823" spans="1:38" s="11" customFormat="1" x14ac:dyDescent="0.25">
      <c r="A2823" s="3"/>
      <c r="F2823" s="19"/>
      <c r="G2823" s="19"/>
      <c r="N2823" s="19"/>
      <c r="P2823" s="19"/>
      <c r="AL2823" s="19"/>
    </row>
    <row r="2824" spans="1:38" s="11" customFormat="1" x14ac:dyDescent="0.25">
      <c r="A2824" s="3"/>
      <c r="F2824" s="19"/>
      <c r="G2824" s="19"/>
      <c r="N2824" s="19"/>
      <c r="P2824" s="19"/>
      <c r="AL2824" s="19"/>
    </row>
    <row r="2825" spans="1:38" s="11" customFormat="1" x14ac:dyDescent="0.25">
      <c r="A2825" s="3"/>
      <c r="F2825" s="19"/>
      <c r="G2825" s="19"/>
      <c r="N2825" s="19"/>
      <c r="P2825" s="19"/>
      <c r="AL2825" s="19"/>
    </row>
    <row r="2826" spans="1:38" s="11" customFormat="1" x14ac:dyDescent="0.25">
      <c r="A2826" s="3"/>
      <c r="F2826" s="19"/>
      <c r="G2826" s="19"/>
      <c r="N2826" s="19"/>
      <c r="P2826" s="19"/>
      <c r="AL2826" s="19"/>
    </row>
    <row r="2827" spans="1:38" s="11" customFormat="1" x14ac:dyDescent="0.25">
      <c r="A2827" s="3"/>
      <c r="F2827" s="19"/>
      <c r="G2827" s="19"/>
      <c r="N2827" s="19"/>
      <c r="P2827" s="19"/>
      <c r="AL2827" s="19"/>
    </row>
    <row r="2828" spans="1:38" s="11" customFormat="1" x14ac:dyDescent="0.25">
      <c r="A2828" s="3"/>
      <c r="F2828" s="19"/>
      <c r="G2828" s="19"/>
      <c r="N2828" s="19"/>
      <c r="P2828" s="19"/>
      <c r="AL2828" s="19"/>
    </row>
    <row r="2829" spans="1:38" s="11" customFormat="1" x14ac:dyDescent="0.25">
      <c r="A2829" s="3"/>
      <c r="F2829" s="19"/>
      <c r="G2829" s="19"/>
      <c r="N2829" s="19"/>
      <c r="P2829" s="19"/>
      <c r="AL2829" s="19"/>
    </row>
    <row r="2830" spans="1:38" s="11" customFormat="1" x14ac:dyDescent="0.25">
      <c r="A2830" s="3"/>
      <c r="F2830" s="19"/>
      <c r="G2830" s="19"/>
      <c r="N2830" s="19"/>
      <c r="P2830" s="19"/>
      <c r="AL2830" s="19"/>
    </row>
    <row r="2831" spans="1:38" s="11" customFormat="1" x14ac:dyDescent="0.25">
      <c r="A2831" s="3"/>
      <c r="F2831" s="19"/>
      <c r="G2831" s="19"/>
      <c r="N2831" s="19"/>
      <c r="P2831" s="19"/>
      <c r="AL2831" s="19"/>
    </row>
    <row r="2832" spans="1:38" s="11" customFormat="1" x14ac:dyDescent="0.25">
      <c r="A2832" s="3"/>
      <c r="F2832" s="19"/>
      <c r="G2832" s="19"/>
      <c r="N2832" s="19"/>
      <c r="P2832" s="19"/>
      <c r="AL2832" s="19"/>
    </row>
    <row r="2833" spans="1:38" s="11" customFormat="1" x14ac:dyDescent="0.25">
      <c r="A2833" s="3"/>
      <c r="F2833" s="19"/>
      <c r="G2833" s="19"/>
      <c r="N2833" s="19"/>
      <c r="P2833" s="19"/>
      <c r="AL2833" s="19"/>
    </row>
    <row r="2834" spans="1:38" s="11" customFormat="1" x14ac:dyDescent="0.25">
      <c r="A2834" s="3"/>
      <c r="F2834" s="19"/>
      <c r="G2834" s="19"/>
      <c r="N2834" s="19"/>
      <c r="P2834" s="19"/>
      <c r="AL2834" s="19"/>
    </row>
    <row r="2835" spans="1:38" s="11" customFormat="1" x14ac:dyDescent="0.25">
      <c r="A2835" s="3"/>
      <c r="F2835" s="19"/>
      <c r="G2835" s="19"/>
      <c r="N2835" s="19"/>
      <c r="P2835" s="19"/>
      <c r="AL2835" s="19"/>
    </row>
    <row r="2836" spans="1:38" s="11" customFormat="1" x14ac:dyDescent="0.25">
      <c r="A2836" s="3"/>
      <c r="F2836" s="19"/>
      <c r="G2836" s="19"/>
      <c r="N2836" s="19"/>
      <c r="P2836" s="19"/>
      <c r="AL2836" s="19"/>
    </row>
    <row r="2837" spans="1:38" s="11" customFormat="1" x14ac:dyDescent="0.25">
      <c r="A2837" s="3"/>
      <c r="F2837" s="19"/>
      <c r="G2837" s="19"/>
      <c r="N2837" s="19"/>
      <c r="P2837" s="19"/>
      <c r="AL2837" s="19"/>
    </row>
    <row r="2838" spans="1:38" s="11" customFormat="1" x14ac:dyDescent="0.25">
      <c r="A2838" s="3"/>
      <c r="F2838" s="19"/>
      <c r="G2838" s="19"/>
      <c r="N2838" s="19"/>
      <c r="P2838" s="19"/>
      <c r="AL2838" s="19"/>
    </row>
    <row r="2839" spans="1:38" s="11" customFormat="1" x14ac:dyDescent="0.25">
      <c r="A2839" s="3"/>
      <c r="F2839" s="19"/>
      <c r="G2839" s="19"/>
      <c r="N2839" s="19"/>
      <c r="P2839" s="19"/>
      <c r="AL2839" s="19"/>
    </row>
    <row r="2840" spans="1:38" s="11" customFormat="1" x14ac:dyDescent="0.25">
      <c r="A2840" s="3"/>
      <c r="F2840" s="19"/>
      <c r="G2840" s="19"/>
      <c r="N2840" s="19"/>
      <c r="P2840" s="19"/>
      <c r="AL2840" s="19"/>
    </row>
    <row r="2841" spans="1:38" s="11" customFormat="1" x14ac:dyDescent="0.25">
      <c r="A2841" s="3"/>
      <c r="F2841" s="19"/>
      <c r="G2841" s="19"/>
      <c r="N2841" s="19"/>
      <c r="P2841" s="19"/>
      <c r="AL2841" s="19"/>
    </row>
    <row r="2842" spans="1:38" s="11" customFormat="1" x14ac:dyDescent="0.25">
      <c r="A2842" s="3"/>
      <c r="F2842" s="19"/>
      <c r="G2842" s="19"/>
      <c r="N2842" s="19"/>
      <c r="P2842" s="19"/>
      <c r="AL2842" s="19"/>
    </row>
    <row r="2843" spans="1:38" s="11" customFormat="1" x14ac:dyDescent="0.25">
      <c r="A2843" s="3"/>
      <c r="F2843" s="19"/>
      <c r="G2843" s="19"/>
      <c r="N2843" s="19"/>
      <c r="P2843" s="19"/>
      <c r="AL2843" s="19"/>
    </row>
    <row r="2844" spans="1:38" s="11" customFormat="1" x14ac:dyDescent="0.25">
      <c r="A2844" s="3"/>
      <c r="F2844" s="19"/>
      <c r="G2844" s="19"/>
      <c r="N2844" s="19"/>
      <c r="P2844" s="19"/>
      <c r="AL2844" s="19"/>
    </row>
    <row r="2845" spans="1:38" s="11" customFormat="1" x14ac:dyDescent="0.25">
      <c r="A2845" s="3"/>
      <c r="F2845" s="19"/>
      <c r="G2845" s="19"/>
      <c r="N2845" s="19"/>
      <c r="P2845" s="19"/>
      <c r="AL2845" s="19"/>
    </row>
    <row r="2846" spans="1:38" s="11" customFormat="1" x14ac:dyDescent="0.25">
      <c r="A2846" s="3"/>
      <c r="F2846" s="19"/>
      <c r="G2846" s="19"/>
      <c r="N2846" s="19"/>
      <c r="P2846" s="19"/>
      <c r="AL2846" s="19"/>
    </row>
    <row r="2847" spans="1:38" s="11" customFormat="1" x14ac:dyDescent="0.25">
      <c r="A2847" s="3"/>
      <c r="F2847" s="19"/>
      <c r="G2847" s="19"/>
      <c r="N2847" s="19"/>
      <c r="P2847" s="19"/>
      <c r="AL2847" s="19"/>
    </row>
    <row r="2848" spans="1:38" s="11" customFormat="1" x14ac:dyDescent="0.25">
      <c r="A2848" s="3"/>
      <c r="F2848" s="19"/>
      <c r="G2848" s="19"/>
      <c r="N2848" s="19"/>
      <c r="P2848" s="19"/>
      <c r="AL2848" s="19"/>
    </row>
    <row r="2849" spans="1:38" s="11" customFormat="1" x14ac:dyDescent="0.25">
      <c r="A2849" s="3"/>
      <c r="F2849" s="19"/>
      <c r="G2849" s="19"/>
      <c r="N2849" s="19"/>
      <c r="P2849" s="19"/>
      <c r="AL2849" s="19"/>
    </row>
    <row r="2850" spans="1:38" s="11" customFormat="1" x14ac:dyDescent="0.25">
      <c r="A2850" s="3"/>
      <c r="F2850" s="19"/>
      <c r="G2850" s="19"/>
      <c r="N2850" s="19"/>
      <c r="P2850" s="19"/>
      <c r="AL2850" s="19"/>
    </row>
    <row r="2851" spans="1:38" s="11" customFormat="1" x14ac:dyDescent="0.25">
      <c r="A2851" s="3"/>
      <c r="F2851" s="19"/>
      <c r="G2851" s="19"/>
      <c r="N2851" s="19"/>
      <c r="P2851" s="19"/>
      <c r="AL2851" s="19"/>
    </row>
    <row r="2852" spans="1:38" s="11" customFormat="1" x14ac:dyDescent="0.25">
      <c r="A2852" s="3"/>
      <c r="F2852" s="19"/>
      <c r="G2852" s="19"/>
      <c r="N2852" s="19"/>
      <c r="P2852" s="19"/>
      <c r="AL2852" s="19"/>
    </row>
    <row r="2853" spans="1:38" s="11" customFormat="1" x14ac:dyDescent="0.25">
      <c r="A2853" s="3"/>
      <c r="F2853" s="19"/>
      <c r="G2853" s="19"/>
      <c r="N2853" s="19"/>
      <c r="P2853" s="19"/>
      <c r="AL2853" s="19"/>
    </row>
    <row r="2854" spans="1:38" s="11" customFormat="1" x14ac:dyDescent="0.25">
      <c r="A2854" s="3"/>
      <c r="F2854" s="19"/>
      <c r="G2854" s="19"/>
      <c r="N2854" s="19"/>
      <c r="P2854" s="19"/>
      <c r="AL2854" s="19"/>
    </row>
    <row r="2855" spans="1:38" s="11" customFormat="1" x14ac:dyDescent="0.25">
      <c r="A2855" s="3"/>
      <c r="F2855" s="19"/>
      <c r="G2855" s="19"/>
      <c r="N2855" s="19"/>
      <c r="P2855" s="19"/>
      <c r="AL2855" s="19"/>
    </row>
    <row r="2856" spans="1:38" s="11" customFormat="1" x14ac:dyDescent="0.25">
      <c r="A2856" s="3"/>
      <c r="F2856" s="19"/>
      <c r="G2856" s="19"/>
      <c r="N2856" s="19"/>
      <c r="P2856" s="19"/>
      <c r="AL2856" s="19"/>
    </row>
    <row r="2857" spans="1:38" s="11" customFormat="1" x14ac:dyDescent="0.25">
      <c r="A2857" s="3"/>
      <c r="F2857" s="19"/>
      <c r="G2857" s="19"/>
      <c r="N2857" s="19"/>
      <c r="P2857" s="19"/>
      <c r="AL2857" s="19"/>
    </row>
    <row r="2858" spans="1:38" s="11" customFormat="1" x14ac:dyDescent="0.25">
      <c r="A2858" s="3"/>
      <c r="F2858" s="19"/>
      <c r="G2858" s="19"/>
      <c r="N2858" s="19"/>
      <c r="P2858" s="19"/>
      <c r="AL2858" s="19"/>
    </row>
    <row r="2859" spans="1:38" s="11" customFormat="1" x14ac:dyDescent="0.25">
      <c r="A2859" s="3"/>
      <c r="F2859" s="19"/>
      <c r="G2859" s="19"/>
      <c r="N2859" s="19"/>
      <c r="P2859" s="19"/>
      <c r="AL2859" s="19"/>
    </row>
    <row r="2860" spans="1:38" s="11" customFormat="1" x14ac:dyDescent="0.25">
      <c r="A2860" s="3"/>
      <c r="F2860" s="19"/>
      <c r="G2860" s="19"/>
      <c r="N2860" s="19"/>
      <c r="P2860" s="19"/>
      <c r="AL2860" s="19"/>
    </row>
    <row r="2861" spans="1:38" s="11" customFormat="1" x14ac:dyDescent="0.25">
      <c r="A2861" s="3"/>
      <c r="F2861" s="19"/>
      <c r="G2861" s="19"/>
      <c r="N2861" s="19"/>
      <c r="P2861" s="19"/>
      <c r="AL2861" s="19"/>
    </row>
    <row r="2862" spans="1:38" s="11" customFormat="1" x14ac:dyDescent="0.25">
      <c r="A2862" s="3"/>
      <c r="F2862" s="19"/>
      <c r="G2862" s="19"/>
      <c r="N2862" s="19"/>
      <c r="P2862" s="19"/>
      <c r="AL2862" s="19"/>
    </row>
    <row r="2863" spans="1:38" s="11" customFormat="1" x14ac:dyDescent="0.25">
      <c r="A2863" s="3"/>
      <c r="F2863" s="19"/>
      <c r="G2863" s="19"/>
      <c r="N2863" s="19"/>
      <c r="P2863" s="19"/>
      <c r="AL2863" s="19"/>
    </row>
    <row r="2864" spans="1:38" s="11" customFormat="1" x14ac:dyDescent="0.25">
      <c r="A2864" s="3"/>
      <c r="F2864" s="19"/>
      <c r="G2864" s="19"/>
      <c r="N2864" s="19"/>
      <c r="P2864" s="19"/>
      <c r="AL2864" s="19"/>
    </row>
    <row r="2865" spans="1:38" s="11" customFormat="1" x14ac:dyDescent="0.25">
      <c r="A2865" s="3"/>
      <c r="F2865" s="19"/>
      <c r="G2865" s="19"/>
      <c r="N2865" s="19"/>
      <c r="P2865" s="19"/>
      <c r="AL2865" s="19"/>
    </row>
    <row r="2866" spans="1:38" s="11" customFormat="1" x14ac:dyDescent="0.25">
      <c r="A2866" s="3"/>
      <c r="F2866" s="19"/>
      <c r="G2866" s="19"/>
      <c r="N2866" s="19"/>
      <c r="P2866" s="19"/>
      <c r="AL2866" s="19"/>
    </row>
    <row r="2867" spans="1:38" s="11" customFormat="1" x14ac:dyDescent="0.25">
      <c r="A2867" s="3"/>
      <c r="F2867" s="19"/>
      <c r="G2867" s="19"/>
      <c r="N2867" s="19"/>
      <c r="P2867" s="19"/>
      <c r="AL2867" s="19"/>
    </row>
    <row r="2868" spans="1:38" s="11" customFormat="1" x14ac:dyDescent="0.25">
      <c r="A2868" s="3"/>
      <c r="F2868" s="19"/>
      <c r="G2868" s="19"/>
      <c r="N2868" s="19"/>
      <c r="P2868" s="19"/>
      <c r="AL2868" s="19"/>
    </row>
    <row r="2869" spans="1:38" s="11" customFormat="1" x14ac:dyDescent="0.25">
      <c r="A2869" s="3"/>
      <c r="F2869" s="19"/>
      <c r="G2869" s="19"/>
      <c r="N2869" s="19"/>
      <c r="P2869" s="19"/>
      <c r="AL2869" s="19"/>
    </row>
    <row r="2870" spans="1:38" s="11" customFormat="1" x14ac:dyDescent="0.25">
      <c r="A2870" s="3"/>
      <c r="F2870" s="19"/>
      <c r="G2870" s="19"/>
      <c r="N2870" s="19"/>
      <c r="P2870" s="19"/>
      <c r="AL2870" s="19"/>
    </row>
    <row r="2871" spans="1:38" s="11" customFormat="1" x14ac:dyDescent="0.25">
      <c r="A2871" s="3"/>
      <c r="F2871" s="19"/>
      <c r="G2871" s="19"/>
      <c r="N2871" s="19"/>
      <c r="P2871" s="19"/>
      <c r="AL2871" s="19"/>
    </row>
    <row r="2872" spans="1:38" s="11" customFormat="1" x14ac:dyDescent="0.25">
      <c r="A2872" s="3"/>
      <c r="F2872" s="19"/>
      <c r="G2872" s="19"/>
      <c r="N2872" s="19"/>
      <c r="P2872" s="19"/>
      <c r="AL2872" s="19"/>
    </row>
    <row r="2873" spans="1:38" s="11" customFormat="1" x14ac:dyDescent="0.25">
      <c r="A2873" s="3"/>
      <c r="F2873" s="19"/>
      <c r="G2873" s="19"/>
      <c r="N2873" s="19"/>
      <c r="P2873" s="19"/>
      <c r="AL2873" s="19"/>
    </row>
    <row r="2874" spans="1:38" s="11" customFormat="1" x14ac:dyDescent="0.25">
      <c r="A2874" s="3"/>
      <c r="F2874" s="19"/>
      <c r="G2874" s="19"/>
      <c r="N2874" s="19"/>
      <c r="P2874" s="19"/>
      <c r="AL2874" s="19"/>
    </row>
    <row r="2875" spans="1:38" s="11" customFormat="1" x14ac:dyDescent="0.25">
      <c r="A2875" s="3"/>
      <c r="F2875" s="19"/>
      <c r="G2875" s="19"/>
      <c r="N2875" s="19"/>
      <c r="P2875" s="19"/>
      <c r="AL2875" s="19"/>
    </row>
    <row r="2876" spans="1:38" s="11" customFormat="1" x14ac:dyDescent="0.25">
      <c r="A2876" s="3"/>
      <c r="F2876" s="19"/>
      <c r="G2876" s="19"/>
      <c r="N2876" s="19"/>
      <c r="P2876" s="19"/>
      <c r="AL2876" s="19"/>
    </row>
    <row r="2877" spans="1:38" s="11" customFormat="1" x14ac:dyDescent="0.25">
      <c r="A2877" s="3"/>
      <c r="F2877" s="19"/>
      <c r="G2877" s="19"/>
      <c r="N2877" s="19"/>
      <c r="P2877" s="19"/>
      <c r="AL2877" s="19"/>
    </row>
    <row r="2878" spans="1:38" s="11" customFormat="1" x14ac:dyDescent="0.25">
      <c r="A2878" s="3"/>
      <c r="F2878" s="19"/>
      <c r="G2878" s="19"/>
      <c r="N2878" s="19"/>
      <c r="P2878" s="19"/>
      <c r="AL2878" s="19"/>
    </row>
    <row r="2879" spans="1:38" s="11" customFormat="1" x14ac:dyDescent="0.25">
      <c r="A2879" s="3"/>
      <c r="F2879" s="19"/>
      <c r="G2879" s="19"/>
      <c r="N2879" s="19"/>
      <c r="P2879" s="19"/>
      <c r="AL2879" s="19"/>
    </row>
    <row r="2880" spans="1:38" s="11" customFormat="1" x14ac:dyDescent="0.25">
      <c r="A2880" s="3"/>
      <c r="F2880" s="19"/>
      <c r="G2880" s="19"/>
      <c r="N2880" s="19"/>
      <c r="P2880" s="19"/>
      <c r="AL2880" s="19"/>
    </row>
    <row r="2881" spans="1:38" s="11" customFormat="1" x14ac:dyDescent="0.25">
      <c r="A2881" s="3"/>
      <c r="F2881" s="19"/>
      <c r="G2881" s="19"/>
      <c r="N2881" s="19"/>
      <c r="P2881" s="19"/>
      <c r="AL2881" s="19"/>
    </row>
    <row r="2882" spans="1:38" s="11" customFormat="1" x14ac:dyDescent="0.25">
      <c r="A2882" s="3"/>
      <c r="F2882" s="19"/>
      <c r="G2882" s="19"/>
      <c r="N2882" s="19"/>
      <c r="P2882" s="19"/>
      <c r="AL2882" s="19"/>
    </row>
    <row r="2883" spans="1:38" s="11" customFormat="1" x14ac:dyDescent="0.25">
      <c r="A2883" s="3"/>
      <c r="F2883" s="19"/>
      <c r="G2883" s="19"/>
      <c r="N2883" s="19"/>
      <c r="P2883" s="19"/>
      <c r="AL2883" s="19"/>
    </row>
    <row r="2884" spans="1:38" s="11" customFormat="1" x14ac:dyDescent="0.25">
      <c r="A2884" s="3"/>
      <c r="F2884" s="19"/>
      <c r="G2884" s="19"/>
      <c r="N2884" s="19"/>
      <c r="P2884" s="19"/>
      <c r="AL2884" s="19"/>
    </row>
    <row r="2885" spans="1:38" s="11" customFormat="1" x14ac:dyDescent="0.25">
      <c r="A2885" s="3"/>
      <c r="F2885" s="19"/>
      <c r="G2885" s="19"/>
      <c r="N2885" s="19"/>
      <c r="P2885" s="19"/>
      <c r="AL2885" s="19"/>
    </row>
    <row r="2886" spans="1:38" s="11" customFormat="1" x14ac:dyDescent="0.25">
      <c r="A2886" s="3"/>
      <c r="F2886" s="19"/>
      <c r="G2886" s="19"/>
      <c r="N2886" s="19"/>
      <c r="P2886" s="19"/>
      <c r="AL2886" s="19"/>
    </row>
    <row r="2887" spans="1:38" s="11" customFormat="1" x14ac:dyDescent="0.25">
      <c r="A2887" s="3"/>
      <c r="F2887" s="19"/>
      <c r="G2887" s="19"/>
      <c r="N2887" s="19"/>
      <c r="P2887" s="19"/>
      <c r="AL2887" s="19"/>
    </row>
    <row r="2888" spans="1:38" s="11" customFormat="1" x14ac:dyDescent="0.25">
      <c r="A2888" s="3"/>
      <c r="F2888" s="19"/>
      <c r="G2888" s="19"/>
      <c r="N2888" s="19"/>
      <c r="P2888" s="19"/>
      <c r="AL2888" s="19"/>
    </row>
    <row r="2889" spans="1:38" s="11" customFormat="1" x14ac:dyDescent="0.25">
      <c r="A2889" s="3"/>
      <c r="F2889" s="19"/>
      <c r="G2889" s="19"/>
      <c r="N2889" s="19"/>
      <c r="P2889" s="19"/>
      <c r="AL2889" s="19"/>
    </row>
    <row r="2890" spans="1:38" s="11" customFormat="1" x14ac:dyDescent="0.25">
      <c r="A2890" s="3"/>
      <c r="F2890" s="19"/>
      <c r="G2890" s="19"/>
      <c r="N2890" s="19"/>
      <c r="P2890" s="19"/>
      <c r="AL2890" s="19"/>
    </row>
    <row r="2891" spans="1:38" s="11" customFormat="1" x14ac:dyDescent="0.25">
      <c r="A2891" s="3"/>
      <c r="F2891" s="19"/>
      <c r="G2891" s="19"/>
      <c r="N2891" s="19"/>
      <c r="P2891" s="19"/>
      <c r="AL2891" s="19"/>
    </row>
    <row r="2892" spans="1:38" s="11" customFormat="1" x14ac:dyDescent="0.25">
      <c r="A2892" s="3"/>
      <c r="F2892" s="19"/>
      <c r="G2892" s="19"/>
      <c r="N2892" s="19"/>
      <c r="P2892" s="19"/>
      <c r="AL2892" s="19"/>
    </row>
    <row r="2893" spans="1:38" s="11" customFormat="1" x14ac:dyDescent="0.25">
      <c r="A2893" s="3"/>
      <c r="F2893" s="19"/>
      <c r="G2893" s="19"/>
      <c r="N2893" s="19"/>
      <c r="P2893" s="19"/>
      <c r="AL2893" s="19"/>
    </row>
    <row r="2894" spans="1:38" s="11" customFormat="1" x14ac:dyDescent="0.25">
      <c r="A2894" s="3"/>
      <c r="F2894" s="19"/>
      <c r="G2894" s="19"/>
      <c r="N2894" s="19"/>
      <c r="P2894" s="19"/>
      <c r="AL2894" s="19"/>
    </row>
    <row r="2895" spans="1:38" s="11" customFormat="1" x14ac:dyDescent="0.25">
      <c r="A2895" s="3"/>
      <c r="F2895" s="19"/>
      <c r="G2895" s="19"/>
      <c r="N2895" s="19"/>
      <c r="P2895" s="19"/>
      <c r="AL2895" s="19"/>
    </row>
    <row r="2896" spans="1:38" s="11" customFormat="1" x14ac:dyDescent="0.25">
      <c r="A2896" s="3"/>
      <c r="F2896" s="19"/>
      <c r="G2896" s="19"/>
      <c r="N2896" s="19"/>
      <c r="P2896" s="19"/>
      <c r="AL2896" s="19"/>
    </row>
    <row r="2897" spans="1:38" s="11" customFormat="1" x14ac:dyDescent="0.25">
      <c r="A2897" s="3"/>
      <c r="F2897" s="19"/>
      <c r="G2897" s="19"/>
      <c r="N2897" s="19"/>
      <c r="P2897" s="19"/>
      <c r="AL2897" s="19"/>
    </row>
    <row r="2898" spans="1:38" s="11" customFormat="1" x14ac:dyDescent="0.25">
      <c r="A2898" s="3"/>
      <c r="F2898" s="19"/>
      <c r="G2898" s="19"/>
      <c r="N2898" s="19"/>
      <c r="P2898" s="19"/>
      <c r="AL2898" s="19"/>
    </row>
    <row r="2899" spans="1:38" s="11" customFormat="1" x14ac:dyDescent="0.25">
      <c r="A2899" s="3"/>
      <c r="F2899" s="19"/>
      <c r="G2899" s="19"/>
      <c r="N2899" s="19"/>
      <c r="P2899" s="19"/>
      <c r="AL2899" s="19"/>
    </row>
    <row r="2900" spans="1:38" s="11" customFormat="1" x14ac:dyDescent="0.25">
      <c r="A2900" s="3"/>
      <c r="F2900" s="19"/>
      <c r="G2900" s="19"/>
      <c r="N2900" s="19"/>
      <c r="P2900" s="19"/>
      <c r="AL2900" s="19"/>
    </row>
    <row r="2901" spans="1:38" s="11" customFormat="1" x14ac:dyDescent="0.25">
      <c r="A2901" s="3"/>
      <c r="F2901" s="19"/>
      <c r="G2901" s="19"/>
      <c r="N2901" s="19"/>
      <c r="P2901" s="19"/>
      <c r="AL2901" s="19"/>
    </row>
    <row r="2902" spans="1:38" s="11" customFormat="1" x14ac:dyDescent="0.25">
      <c r="A2902" s="3"/>
      <c r="F2902" s="19"/>
      <c r="G2902" s="19"/>
      <c r="N2902" s="19"/>
      <c r="P2902" s="19"/>
      <c r="AL2902" s="19"/>
    </row>
    <row r="2903" spans="1:38" s="11" customFormat="1" x14ac:dyDescent="0.25">
      <c r="A2903" s="3"/>
      <c r="F2903" s="19"/>
      <c r="G2903" s="19"/>
      <c r="N2903" s="19"/>
      <c r="P2903" s="19"/>
      <c r="AL2903" s="19"/>
    </row>
    <row r="2904" spans="1:38" s="11" customFormat="1" x14ac:dyDescent="0.25">
      <c r="A2904" s="3"/>
      <c r="F2904" s="19"/>
      <c r="G2904" s="19"/>
      <c r="N2904" s="19"/>
      <c r="P2904" s="19"/>
      <c r="AL2904" s="19"/>
    </row>
    <row r="2905" spans="1:38" s="11" customFormat="1" x14ac:dyDescent="0.25">
      <c r="A2905" s="3"/>
      <c r="F2905" s="19"/>
      <c r="G2905" s="19"/>
      <c r="N2905" s="19"/>
      <c r="P2905" s="19"/>
      <c r="AL2905" s="19"/>
    </row>
    <row r="2906" spans="1:38" s="11" customFormat="1" x14ac:dyDescent="0.25">
      <c r="A2906" s="3"/>
      <c r="F2906" s="19"/>
      <c r="G2906" s="19"/>
      <c r="N2906" s="19"/>
      <c r="P2906" s="19"/>
      <c r="AL2906" s="19"/>
    </row>
    <row r="2907" spans="1:38" s="11" customFormat="1" x14ac:dyDescent="0.25">
      <c r="A2907" s="3"/>
      <c r="F2907" s="19"/>
      <c r="G2907" s="19"/>
      <c r="N2907" s="19"/>
      <c r="P2907" s="19"/>
      <c r="AL2907" s="19"/>
    </row>
    <row r="2908" spans="1:38" s="11" customFormat="1" x14ac:dyDescent="0.25">
      <c r="A2908" s="3"/>
      <c r="F2908" s="19"/>
      <c r="G2908" s="19"/>
      <c r="N2908" s="19"/>
      <c r="P2908" s="19"/>
      <c r="AL2908" s="19"/>
    </row>
    <row r="2909" spans="1:38" s="11" customFormat="1" x14ac:dyDescent="0.25">
      <c r="A2909" s="3"/>
      <c r="F2909" s="19"/>
      <c r="G2909" s="19"/>
      <c r="N2909" s="19"/>
      <c r="P2909" s="19"/>
      <c r="AL2909" s="19"/>
    </row>
    <row r="2910" spans="1:38" s="11" customFormat="1" x14ac:dyDescent="0.25">
      <c r="A2910" s="3"/>
      <c r="F2910" s="19"/>
      <c r="G2910" s="19"/>
      <c r="N2910" s="19"/>
      <c r="P2910" s="19"/>
      <c r="AL2910" s="19"/>
    </row>
    <row r="2911" spans="1:38" s="11" customFormat="1" x14ac:dyDescent="0.25">
      <c r="A2911" s="3"/>
      <c r="F2911" s="19"/>
      <c r="G2911" s="19"/>
      <c r="N2911" s="19"/>
      <c r="P2911" s="19"/>
      <c r="AL2911" s="19"/>
    </row>
    <row r="2912" spans="1:38" s="11" customFormat="1" x14ac:dyDescent="0.25">
      <c r="A2912" s="3"/>
      <c r="F2912" s="19"/>
      <c r="G2912" s="19"/>
      <c r="N2912" s="19"/>
      <c r="P2912" s="19"/>
      <c r="AL2912" s="19"/>
    </row>
    <row r="2913" spans="1:38" s="11" customFormat="1" x14ac:dyDescent="0.25">
      <c r="A2913" s="3"/>
      <c r="F2913" s="19"/>
      <c r="G2913" s="19"/>
      <c r="N2913" s="19"/>
      <c r="P2913" s="19"/>
      <c r="AL2913" s="19"/>
    </row>
    <row r="2914" spans="1:38" s="11" customFormat="1" x14ac:dyDescent="0.25">
      <c r="A2914" s="3"/>
      <c r="F2914" s="19"/>
      <c r="G2914" s="19"/>
      <c r="N2914" s="19"/>
      <c r="P2914" s="19"/>
      <c r="AL2914" s="19"/>
    </row>
    <row r="2915" spans="1:38" s="11" customFormat="1" x14ac:dyDescent="0.25">
      <c r="A2915" s="3"/>
      <c r="F2915" s="19"/>
      <c r="G2915" s="19"/>
      <c r="N2915" s="19"/>
      <c r="P2915" s="19"/>
      <c r="AL2915" s="19"/>
    </row>
    <row r="2916" spans="1:38" s="11" customFormat="1" x14ac:dyDescent="0.25">
      <c r="A2916" s="3"/>
      <c r="F2916" s="19"/>
      <c r="G2916" s="19"/>
      <c r="N2916" s="19"/>
      <c r="P2916" s="19"/>
      <c r="AL2916" s="19"/>
    </row>
    <row r="2917" spans="1:38" s="11" customFormat="1" x14ac:dyDescent="0.25">
      <c r="A2917" s="3"/>
      <c r="F2917" s="19"/>
      <c r="G2917" s="19"/>
      <c r="N2917" s="19"/>
      <c r="P2917" s="19"/>
      <c r="AL2917" s="19"/>
    </row>
    <row r="2918" spans="1:38" s="11" customFormat="1" x14ac:dyDescent="0.25">
      <c r="A2918" s="3"/>
      <c r="F2918" s="19"/>
      <c r="G2918" s="19"/>
      <c r="N2918" s="19"/>
      <c r="P2918" s="19"/>
      <c r="AL2918" s="19"/>
    </row>
    <row r="2919" spans="1:38" s="11" customFormat="1" x14ac:dyDescent="0.25">
      <c r="A2919" s="3"/>
      <c r="F2919" s="19"/>
      <c r="G2919" s="19"/>
      <c r="N2919" s="19"/>
      <c r="P2919" s="19"/>
      <c r="AL2919" s="19"/>
    </row>
    <row r="2920" spans="1:38" s="11" customFormat="1" x14ac:dyDescent="0.25">
      <c r="A2920" s="3"/>
      <c r="F2920" s="19"/>
      <c r="G2920" s="19"/>
      <c r="N2920" s="19"/>
      <c r="P2920" s="19"/>
      <c r="AL2920" s="19"/>
    </row>
    <row r="2921" spans="1:38" s="11" customFormat="1" x14ac:dyDescent="0.25">
      <c r="A2921" s="3"/>
      <c r="F2921" s="19"/>
      <c r="G2921" s="19"/>
      <c r="N2921" s="19"/>
      <c r="P2921" s="19"/>
      <c r="AL2921" s="19"/>
    </row>
    <row r="2922" spans="1:38" s="11" customFormat="1" x14ac:dyDescent="0.25">
      <c r="A2922" s="3"/>
      <c r="F2922" s="19"/>
      <c r="G2922" s="19"/>
      <c r="N2922" s="19"/>
      <c r="P2922" s="19"/>
      <c r="AL2922" s="19"/>
    </row>
    <row r="2923" spans="1:38" s="11" customFormat="1" x14ac:dyDescent="0.25">
      <c r="A2923" s="3"/>
      <c r="F2923" s="19"/>
      <c r="G2923" s="19"/>
      <c r="N2923" s="19"/>
      <c r="P2923" s="19"/>
      <c r="AL2923" s="19"/>
    </row>
    <row r="2924" spans="1:38" s="11" customFormat="1" x14ac:dyDescent="0.25">
      <c r="A2924" s="3"/>
      <c r="F2924" s="19"/>
      <c r="G2924" s="19"/>
      <c r="N2924" s="19"/>
      <c r="P2924" s="19"/>
      <c r="AL2924" s="19"/>
    </row>
    <row r="2925" spans="1:38" s="11" customFormat="1" x14ac:dyDescent="0.25">
      <c r="A2925" s="3"/>
      <c r="F2925" s="19"/>
      <c r="G2925" s="19"/>
      <c r="N2925" s="19"/>
      <c r="P2925" s="19"/>
      <c r="AL2925" s="19"/>
    </row>
    <row r="2926" spans="1:38" s="11" customFormat="1" x14ac:dyDescent="0.25">
      <c r="A2926" s="3"/>
      <c r="F2926" s="19"/>
      <c r="G2926" s="19"/>
      <c r="N2926" s="19"/>
      <c r="P2926" s="19"/>
      <c r="AL2926" s="19"/>
    </row>
    <row r="2927" spans="1:38" s="11" customFormat="1" x14ac:dyDescent="0.25">
      <c r="A2927" s="3"/>
      <c r="F2927" s="19"/>
      <c r="G2927" s="19"/>
      <c r="N2927" s="19"/>
      <c r="P2927" s="19"/>
      <c r="AL2927" s="19"/>
    </row>
    <row r="2928" spans="1:38" s="11" customFormat="1" x14ac:dyDescent="0.25">
      <c r="A2928" s="3"/>
      <c r="F2928" s="19"/>
      <c r="G2928" s="19"/>
      <c r="N2928" s="19"/>
      <c r="P2928" s="19"/>
      <c r="AL2928" s="19"/>
    </row>
    <row r="2929" spans="1:38" s="11" customFormat="1" x14ac:dyDescent="0.25">
      <c r="A2929" s="3"/>
      <c r="F2929" s="19"/>
      <c r="G2929" s="19"/>
      <c r="N2929" s="19"/>
      <c r="P2929" s="19"/>
      <c r="AL2929" s="19"/>
    </row>
    <row r="2930" spans="1:38" s="11" customFormat="1" x14ac:dyDescent="0.25">
      <c r="A2930" s="3"/>
      <c r="F2930" s="19"/>
      <c r="G2930" s="19"/>
      <c r="N2930" s="19"/>
      <c r="P2930" s="19"/>
      <c r="AL2930" s="19"/>
    </row>
    <row r="2931" spans="1:38" s="11" customFormat="1" x14ac:dyDescent="0.25">
      <c r="A2931" s="3"/>
      <c r="F2931" s="19"/>
      <c r="G2931" s="19"/>
      <c r="N2931" s="19"/>
      <c r="P2931" s="19"/>
      <c r="AL2931" s="19"/>
    </row>
    <row r="2932" spans="1:38" s="11" customFormat="1" x14ac:dyDescent="0.25">
      <c r="A2932" s="3"/>
      <c r="F2932" s="19"/>
      <c r="G2932" s="19"/>
      <c r="N2932" s="19"/>
      <c r="P2932" s="19"/>
      <c r="AL2932" s="19"/>
    </row>
    <row r="2933" spans="1:38" s="11" customFormat="1" x14ac:dyDescent="0.25">
      <c r="A2933" s="3"/>
      <c r="F2933" s="19"/>
      <c r="G2933" s="19"/>
      <c r="N2933" s="19"/>
      <c r="P2933" s="19"/>
      <c r="AL2933" s="19"/>
    </row>
    <row r="2934" spans="1:38" s="11" customFormat="1" x14ac:dyDescent="0.25">
      <c r="A2934" s="3"/>
      <c r="F2934" s="19"/>
      <c r="G2934" s="19"/>
      <c r="N2934" s="19"/>
      <c r="P2934" s="19"/>
      <c r="AL2934" s="19"/>
    </row>
    <row r="2935" spans="1:38" s="11" customFormat="1" x14ac:dyDescent="0.25">
      <c r="A2935" s="3"/>
      <c r="F2935" s="19"/>
      <c r="G2935" s="19"/>
      <c r="N2935" s="19"/>
      <c r="P2935" s="19"/>
      <c r="AL2935" s="19"/>
    </row>
    <row r="2936" spans="1:38" s="11" customFormat="1" x14ac:dyDescent="0.25">
      <c r="A2936" s="3"/>
      <c r="F2936" s="19"/>
      <c r="G2936" s="19"/>
      <c r="N2936" s="19"/>
      <c r="P2936" s="19"/>
      <c r="AL2936" s="19"/>
    </row>
    <row r="2937" spans="1:38" s="11" customFormat="1" x14ac:dyDescent="0.25">
      <c r="A2937" s="3"/>
      <c r="F2937" s="19"/>
      <c r="G2937" s="19"/>
      <c r="N2937" s="19"/>
      <c r="P2937" s="19"/>
      <c r="AL2937" s="19"/>
    </row>
    <row r="2938" spans="1:38" s="11" customFormat="1" x14ac:dyDescent="0.25">
      <c r="A2938" s="3"/>
      <c r="F2938" s="19"/>
      <c r="G2938" s="19"/>
      <c r="N2938" s="19"/>
      <c r="P2938" s="19"/>
      <c r="AL2938" s="19"/>
    </row>
    <row r="2939" spans="1:38" s="11" customFormat="1" x14ac:dyDescent="0.25">
      <c r="A2939" s="3"/>
      <c r="F2939" s="19"/>
      <c r="G2939" s="19"/>
      <c r="N2939" s="19"/>
      <c r="P2939" s="19"/>
      <c r="AL2939" s="19"/>
    </row>
    <row r="2940" spans="1:38" s="11" customFormat="1" x14ac:dyDescent="0.25">
      <c r="A2940" s="3"/>
      <c r="F2940" s="19"/>
      <c r="G2940" s="19"/>
      <c r="N2940" s="19"/>
      <c r="P2940" s="19"/>
      <c r="AL2940" s="19"/>
    </row>
    <row r="2941" spans="1:38" s="11" customFormat="1" x14ac:dyDescent="0.25">
      <c r="A2941" s="3"/>
      <c r="F2941" s="19"/>
      <c r="G2941" s="19"/>
      <c r="N2941" s="19"/>
      <c r="P2941" s="19"/>
      <c r="AL2941" s="19"/>
    </row>
    <row r="2942" spans="1:38" s="11" customFormat="1" x14ac:dyDescent="0.25">
      <c r="A2942" s="3"/>
      <c r="F2942" s="19"/>
      <c r="G2942" s="19"/>
      <c r="N2942" s="19"/>
      <c r="P2942" s="19"/>
      <c r="AL2942" s="19"/>
    </row>
    <row r="2943" spans="1:38" s="11" customFormat="1" x14ac:dyDescent="0.25">
      <c r="A2943" s="3"/>
      <c r="F2943" s="19"/>
      <c r="G2943" s="19"/>
      <c r="N2943" s="19"/>
      <c r="P2943" s="19"/>
      <c r="AL2943" s="19"/>
    </row>
    <row r="2944" spans="1:38" s="11" customFormat="1" x14ac:dyDescent="0.25">
      <c r="A2944" s="3"/>
      <c r="F2944" s="19"/>
      <c r="G2944" s="19"/>
      <c r="N2944" s="19"/>
      <c r="P2944" s="19"/>
      <c r="AL2944" s="19"/>
    </row>
    <row r="2945" spans="1:38" s="11" customFormat="1" x14ac:dyDescent="0.25">
      <c r="A2945" s="3"/>
      <c r="F2945" s="19"/>
      <c r="G2945" s="19"/>
      <c r="N2945" s="19"/>
      <c r="P2945" s="19"/>
      <c r="AL2945" s="19"/>
    </row>
    <row r="2946" spans="1:38" s="11" customFormat="1" x14ac:dyDescent="0.25">
      <c r="A2946" s="3"/>
      <c r="F2946" s="19"/>
      <c r="G2946" s="19"/>
      <c r="N2946" s="19"/>
      <c r="P2946" s="19"/>
      <c r="AL2946" s="19"/>
    </row>
    <row r="2947" spans="1:38" s="11" customFormat="1" x14ac:dyDescent="0.25">
      <c r="A2947" s="3"/>
      <c r="F2947" s="19"/>
      <c r="G2947" s="19"/>
      <c r="N2947" s="19"/>
      <c r="P2947" s="19"/>
      <c r="AL2947" s="19"/>
    </row>
    <row r="2948" spans="1:38" s="11" customFormat="1" x14ac:dyDescent="0.25">
      <c r="A2948" s="3"/>
      <c r="F2948" s="19"/>
      <c r="G2948" s="19"/>
      <c r="N2948" s="19"/>
      <c r="P2948" s="19"/>
      <c r="AL2948" s="19"/>
    </row>
    <row r="2949" spans="1:38" s="11" customFormat="1" x14ac:dyDescent="0.25">
      <c r="A2949" s="3"/>
      <c r="F2949" s="19"/>
      <c r="G2949" s="19"/>
      <c r="N2949" s="19"/>
      <c r="P2949" s="19"/>
      <c r="AL2949" s="19"/>
    </row>
    <row r="2950" spans="1:38" s="11" customFormat="1" x14ac:dyDescent="0.25">
      <c r="A2950" s="3"/>
      <c r="F2950" s="19"/>
      <c r="G2950" s="19"/>
      <c r="N2950" s="19"/>
      <c r="P2950" s="19"/>
      <c r="AL2950" s="19"/>
    </row>
    <row r="2951" spans="1:38" s="11" customFormat="1" x14ac:dyDescent="0.25">
      <c r="A2951" s="3"/>
      <c r="F2951" s="19"/>
      <c r="G2951" s="19"/>
      <c r="N2951" s="19"/>
      <c r="P2951" s="19"/>
      <c r="AL2951" s="19"/>
    </row>
    <row r="2952" spans="1:38" s="11" customFormat="1" x14ac:dyDescent="0.25">
      <c r="A2952" s="3"/>
      <c r="F2952" s="19"/>
      <c r="G2952" s="19"/>
      <c r="N2952" s="19"/>
      <c r="P2952" s="19"/>
      <c r="AL2952" s="19"/>
    </row>
    <row r="2953" spans="1:38" s="11" customFormat="1" x14ac:dyDescent="0.25">
      <c r="A2953" s="3"/>
      <c r="F2953" s="19"/>
      <c r="G2953" s="19"/>
      <c r="N2953" s="19"/>
      <c r="P2953" s="19"/>
      <c r="AL2953" s="19"/>
    </row>
    <row r="2954" spans="1:38" s="11" customFormat="1" x14ac:dyDescent="0.25">
      <c r="A2954" s="3"/>
      <c r="F2954" s="19"/>
      <c r="G2954" s="19"/>
      <c r="N2954" s="19"/>
      <c r="P2954" s="19"/>
      <c r="AL2954" s="19"/>
    </row>
    <row r="2955" spans="1:38" s="11" customFormat="1" x14ac:dyDescent="0.25">
      <c r="A2955" s="3"/>
      <c r="F2955" s="19"/>
      <c r="G2955" s="19"/>
      <c r="N2955" s="19"/>
      <c r="P2955" s="19"/>
      <c r="AL2955" s="19"/>
    </row>
    <row r="2956" spans="1:38" s="11" customFormat="1" x14ac:dyDescent="0.25">
      <c r="A2956" s="3"/>
      <c r="F2956" s="19"/>
      <c r="G2956" s="19"/>
      <c r="N2956" s="19"/>
      <c r="P2956" s="19"/>
      <c r="AL2956" s="19"/>
    </row>
    <row r="2957" spans="1:38" s="11" customFormat="1" x14ac:dyDescent="0.25">
      <c r="A2957" s="3"/>
      <c r="F2957" s="19"/>
      <c r="G2957" s="19"/>
      <c r="N2957" s="19"/>
      <c r="P2957" s="19"/>
      <c r="AL2957" s="19"/>
    </row>
    <row r="2958" spans="1:38" s="11" customFormat="1" x14ac:dyDescent="0.25">
      <c r="A2958" s="3"/>
      <c r="F2958" s="19"/>
      <c r="G2958" s="19"/>
      <c r="N2958" s="19"/>
      <c r="P2958" s="19"/>
      <c r="AL2958" s="19"/>
    </row>
    <row r="2959" spans="1:38" s="11" customFormat="1" x14ac:dyDescent="0.25">
      <c r="A2959" s="3"/>
      <c r="F2959" s="19"/>
      <c r="G2959" s="19"/>
      <c r="N2959" s="19"/>
      <c r="P2959" s="19"/>
      <c r="AL2959" s="19"/>
    </row>
    <row r="2960" spans="1:38" s="11" customFormat="1" x14ac:dyDescent="0.25">
      <c r="A2960" s="3"/>
      <c r="F2960" s="19"/>
      <c r="G2960" s="19"/>
      <c r="N2960" s="19"/>
      <c r="P2960" s="19"/>
      <c r="AL2960" s="19"/>
    </row>
    <row r="2961" spans="1:38" s="11" customFormat="1" x14ac:dyDescent="0.25">
      <c r="A2961" s="3"/>
      <c r="F2961" s="19"/>
      <c r="G2961" s="19"/>
      <c r="N2961" s="19"/>
      <c r="P2961" s="19"/>
      <c r="AL2961" s="19"/>
    </row>
    <row r="2962" spans="1:38" s="11" customFormat="1" x14ac:dyDescent="0.25">
      <c r="A2962" s="3"/>
      <c r="F2962" s="19"/>
      <c r="G2962" s="19"/>
      <c r="N2962" s="19"/>
      <c r="P2962" s="19"/>
      <c r="AL2962" s="19"/>
    </row>
    <row r="2963" spans="1:38" s="11" customFormat="1" x14ac:dyDescent="0.25">
      <c r="A2963" s="3"/>
      <c r="F2963" s="19"/>
      <c r="G2963" s="19"/>
      <c r="N2963" s="19"/>
      <c r="P2963" s="19"/>
      <c r="AL2963" s="19"/>
    </row>
    <row r="2964" spans="1:38" s="11" customFormat="1" x14ac:dyDescent="0.25">
      <c r="A2964" s="3"/>
      <c r="F2964" s="19"/>
      <c r="G2964" s="19"/>
      <c r="N2964" s="19"/>
      <c r="P2964" s="19"/>
      <c r="AL2964" s="19"/>
    </row>
    <row r="2965" spans="1:38" s="11" customFormat="1" x14ac:dyDescent="0.25">
      <c r="A2965" s="3"/>
      <c r="F2965" s="19"/>
      <c r="G2965" s="19"/>
      <c r="N2965" s="19"/>
      <c r="P2965" s="19"/>
      <c r="AL2965" s="19"/>
    </row>
    <row r="2966" spans="1:38" s="11" customFormat="1" x14ac:dyDescent="0.25">
      <c r="A2966" s="3"/>
      <c r="F2966" s="19"/>
      <c r="G2966" s="19"/>
      <c r="N2966" s="19"/>
      <c r="P2966" s="19"/>
      <c r="AL2966" s="19"/>
    </row>
    <row r="2967" spans="1:38" s="11" customFormat="1" x14ac:dyDescent="0.25">
      <c r="A2967" s="3"/>
      <c r="F2967" s="19"/>
      <c r="G2967" s="19"/>
      <c r="N2967" s="19"/>
      <c r="P2967" s="19"/>
      <c r="AL2967" s="19"/>
    </row>
    <row r="2968" spans="1:38" s="11" customFormat="1" x14ac:dyDescent="0.25">
      <c r="A2968" s="3"/>
      <c r="F2968" s="19"/>
      <c r="G2968" s="19"/>
      <c r="N2968" s="19"/>
      <c r="P2968" s="19"/>
      <c r="AL2968" s="19"/>
    </row>
    <row r="2969" spans="1:38" s="11" customFormat="1" x14ac:dyDescent="0.25">
      <c r="A2969" s="3"/>
      <c r="F2969" s="19"/>
      <c r="G2969" s="19"/>
      <c r="N2969" s="19"/>
      <c r="P2969" s="19"/>
      <c r="AL2969" s="19"/>
    </row>
    <row r="2970" spans="1:38" s="11" customFormat="1" x14ac:dyDescent="0.25">
      <c r="A2970" s="3"/>
      <c r="F2970" s="19"/>
      <c r="G2970" s="19"/>
      <c r="N2970" s="19"/>
      <c r="P2970" s="19"/>
      <c r="AL2970" s="19"/>
    </row>
    <row r="2971" spans="1:38" s="11" customFormat="1" x14ac:dyDescent="0.25">
      <c r="A2971" s="3"/>
      <c r="F2971" s="19"/>
      <c r="G2971" s="19"/>
      <c r="N2971" s="19"/>
      <c r="P2971" s="19"/>
      <c r="AL2971" s="19"/>
    </row>
    <row r="2972" spans="1:38" s="11" customFormat="1" x14ac:dyDescent="0.25">
      <c r="A2972" s="3"/>
      <c r="F2972" s="19"/>
      <c r="G2972" s="19"/>
      <c r="N2972" s="19"/>
      <c r="P2972" s="19"/>
      <c r="AL2972" s="19"/>
    </row>
    <row r="2973" spans="1:38" s="11" customFormat="1" x14ac:dyDescent="0.25">
      <c r="A2973" s="3"/>
      <c r="F2973" s="19"/>
      <c r="G2973" s="19"/>
      <c r="N2973" s="19"/>
      <c r="P2973" s="19"/>
      <c r="AL2973" s="19"/>
    </row>
    <row r="2974" spans="1:38" s="11" customFormat="1" x14ac:dyDescent="0.25">
      <c r="A2974" s="3"/>
      <c r="F2974" s="19"/>
      <c r="G2974" s="19"/>
      <c r="N2974" s="19"/>
      <c r="P2974" s="19"/>
      <c r="AL2974" s="19"/>
    </row>
    <row r="2975" spans="1:38" s="11" customFormat="1" x14ac:dyDescent="0.25">
      <c r="A2975" s="3"/>
      <c r="F2975" s="19"/>
      <c r="G2975" s="19"/>
      <c r="N2975" s="19"/>
      <c r="P2975" s="19"/>
      <c r="AL2975" s="19"/>
    </row>
    <row r="2976" spans="1:38" s="11" customFormat="1" x14ac:dyDescent="0.25">
      <c r="A2976" s="3"/>
      <c r="F2976" s="19"/>
      <c r="G2976" s="19"/>
      <c r="N2976" s="19"/>
      <c r="P2976" s="19"/>
      <c r="AL2976" s="19"/>
    </row>
    <row r="2977" spans="1:38" s="11" customFormat="1" x14ac:dyDescent="0.25">
      <c r="A2977" s="3"/>
      <c r="F2977" s="19"/>
      <c r="G2977" s="19"/>
      <c r="N2977" s="19"/>
      <c r="P2977" s="19"/>
      <c r="AL2977" s="19"/>
    </row>
    <row r="2978" spans="1:38" s="11" customFormat="1" x14ac:dyDescent="0.25">
      <c r="A2978" s="3"/>
      <c r="F2978" s="19"/>
      <c r="G2978" s="19"/>
      <c r="N2978" s="19"/>
      <c r="P2978" s="19"/>
      <c r="AL2978" s="19"/>
    </row>
    <row r="2979" spans="1:38" s="11" customFormat="1" x14ac:dyDescent="0.25">
      <c r="A2979" s="3"/>
      <c r="F2979" s="19"/>
      <c r="G2979" s="19"/>
      <c r="N2979" s="19"/>
      <c r="P2979" s="19"/>
      <c r="AL2979" s="19"/>
    </row>
    <row r="2980" spans="1:38" s="11" customFormat="1" x14ac:dyDescent="0.25">
      <c r="A2980" s="3"/>
      <c r="F2980" s="19"/>
      <c r="G2980" s="19"/>
      <c r="N2980" s="19"/>
      <c r="P2980" s="19"/>
      <c r="AL2980" s="19"/>
    </row>
    <row r="2981" spans="1:38" s="11" customFormat="1" x14ac:dyDescent="0.25">
      <c r="A2981" s="3"/>
      <c r="F2981" s="19"/>
      <c r="G2981" s="19"/>
      <c r="N2981" s="19"/>
      <c r="P2981" s="19"/>
      <c r="AL2981" s="19"/>
    </row>
    <row r="2982" spans="1:38" s="11" customFormat="1" x14ac:dyDescent="0.25">
      <c r="A2982" s="3"/>
      <c r="F2982" s="19"/>
      <c r="G2982" s="19"/>
      <c r="N2982" s="19"/>
      <c r="P2982" s="19"/>
      <c r="AL2982" s="19"/>
    </row>
    <row r="2983" spans="1:38" s="11" customFormat="1" x14ac:dyDescent="0.25">
      <c r="A2983" s="3"/>
      <c r="F2983" s="19"/>
      <c r="G2983" s="19"/>
      <c r="N2983" s="19"/>
      <c r="P2983" s="19"/>
      <c r="AL2983" s="19"/>
    </row>
    <row r="2984" spans="1:38" s="11" customFormat="1" x14ac:dyDescent="0.25">
      <c r="A2984" s="3"/>
      <c r="F2984" s="19"/>
      <c r="G2984" s="19"/>
      <c r="N2984" s="19"/>
      <c r="P2984" s="19"/>
      <c r="AL2984" s="19"/>
    </row>
    <row r="2985" spans="1:38" s="11" customFormat="1" x14ac:dyDescent="0.25">
      <c r="A2985" s="3"/>
      <c r="F2985" s="19"/>
      <c r="G2985" s="19"/>
      <c r="N2985" s="19"/>
      <c r="P2985" s="19"/>
      <c r="AL2985" s="19"/>
    </row>
    <row r="2986" spans="1:38" s="11" customFormat="1" x14ac:dyDescent="0.25">
      <c r="A2986" s="3"/>
      <c r="F2986" s="19"/>
      <c r="G2986" s="19"/>
      <c r="N2986" s="19"/>
      <c r="P2986" s="19"/>
      <c r="AL2986" s="19"/>
    </row>
    <row r="2987" spans="1:38" s="11" customFormat="1" x14ac:dyDescent="0.25">
      <c r="A2987" s="3"/>
      <c r="F2987" s="19"/>
      <c r="G2987" s="19"/>
      <c r="N2987" s="19"/>
      <c r="P2987" s="19"/>
      <c r="AL2987" s="19"/>
    </row>
    <row r="2988" spans="1:38" s="11" customFormat="1" x14ac:dyDescent="0.25">
      <c r="A2988" s="3"/>
      <c r="F2988" s="19"/>
      <c r="G2988" s="19"/>
      <c r="N2988" s="19"/>
      <c r="P2988" s="19"/>
      <c r="AL2988" s="19"/>
    </row>
    <row r="2989" spans="1:38" s="11" customFormat="1" x14ac:dyDescent="0.25">
      <c r="A2989" s="3"/>
      <c r="F2989" s="19"/>
      <c r="G2989" s="19"/>
      <c r="N2989" s="19"/>
      <c r="P2989" s="19"/>
      <c r="AL2989" s="19"/>
    </row>
    <row r="2990" spans="1:38" s="11" customFormat="1" x14ac:dyDescent="0.25">
      <c r="A2990" s="3"/>
      <c r="F2990" s="19"/>
      <c r="G2990" s="19"/>
      <c r="N2990" s="19"/>
      <c r="P2990" s="19"/>
      <c r="AL2990" s="19"/>
    </row>
    <row r="2991" spans="1:38" s="11" customFormat="1" x14ac:dyDescent="0.25">
      <c r="A2991" s="3"/>
      <c r="F2991" s="19"/>
      <c r="G2991" s="19"/>
      <c r="N2991" s="19"/>
      <c r="P2991" s="19"/>
      <c r="AL2991" s="19"/>
    </row>
    <row r="2992" spans="1:38" s="11" customFormat="1" x14ac:dyDescent="0.25">
      <c r="A2992" s="3"/>
      <c r="F2992" s="19"/>
      <c r="G2992" s="19"/>
      <c r="N2992" s="19"/>
      <c r="P2992" s="19"/>
      <c r="AL2992" s="19"/>
    </row>
    <row r="2993" spans="1:38" s="11" customFormat="1" x14ac:dyDescent="0.25">
      <c r="A2993" s="3"/>
      <c r="F2993" s="19"/>
      <c r="G2993" s="19"/>
      <c r="N2993" s="19"/>
      <c r="P2993" s="19"/>
      <c r="AL2993" s="19"/>
    </row>
    <row r="2994" spans="1:38" s="11" customFormat="1" x14ac:dyDescent="0.25">
      <c r="A2994" s="3"/>
      <c r="F2994" s="19"/>
      <c r="G2994" s="19"/>
      <c r="N2994" s="19"/>
      <c r="P2994" s="19"/>
      <c r="AL2994" s="19"/>
    </row>
    <row r="2995" spans="1:38" s="11" customFormat="1" x14ac:dyDescent="0.25">
      <c r="A2995" s="3"/>
      <c r="F2995" s="19"/>
      <c r="G2995" s="19"/>
      <c r="N2995" s="19"/>
      <c r="P2995" s="19"/>
      <c r="AL2995" s="19"/>
    </row>
    <row r="2996" spans="1:38" s="11" customFormat="1" x14ac:dyDescent="0.25">
      <c r="A2996" s="3"/>
      <c r="F2996" s="19"/>
      <c r="G2996" s="19"/>
      <c r="N2996" s="19"/>
      <c r="P2996" s="19"/>
      <c r="AL2996" s="19"/>
    </row>
    <row r="2997" spans="1:38" s="11" customFormat="1" x14ac:dyDescent="0.25">
      <c r="A2997" s="3"/>
      <c r="F2997" s="19"/>
      <c r="G2997" s="19"/>
      <c r="N2997" s="19"/>
      <c r="P2997" s="19"/>
      <c r="AL2997" s="19"/>
    </row>
    <row r="2998" spans="1:38" s="11" customFormat="1" x14ac:dyDescent="0.25">
      <c r="A2998" s="3"/>
      <c r="F2998" s="19"/>
      <c r="G2998" s="19"/>
      <c r="N2998" s="19"/>
      <c r="P2998" s="19"/>
      <c r="AL2998" s="19"/>
    </row>
    <row r="2999" spans="1:38" s="11" customFormat="1" x14ac:dyDescent="0.25">
      <c r="A2999" s="3"/>
      <c r="F2999" s="19"/>
      <c r="G2999" s="19"/>
      <c r="N2999" s="19"/>
      <c r="P2999" s="19"/>
      <c r="AL2999" s="19"/>
    </row>
    <row r="3000" spans="1:38" s="11" customFormat="1" x14ac:dyDescent="0.25">
      <c r="A3000" s="3"/>
      <c r="F3000" s="19"/>
      <c r="G3000" s="19"/>
      <c r="N3000" s="19"/>
      <c r="P3000" s="19"/>
      <c r="AL3000" s="19"/>
    </row>
    <row r="3001" spans="1:38" s="11" customFormat="1" x14ac:dyDescent="0.25">
      <c r="A3001" s="3"/>
      <c r="F3001" s="19"/>
      <c r="G3001" s="19"/>
      <c r="N3001" s="19"/>
      <c r="P3001" s="19"/>
      <c r="AL3001" s="19"/>
    </row>
    <row r="3002" spans="1:38" s="11" customFormat="1" x14ac:dyDescent="0.25">
      <c r="A3002" s="3"/>
      <c r="F3002" s="19"/>
      <c r="G3002" s="19"/>
      <c r="N3002" s="19"/>
      <c r="P3002" s="19"/>
      <c r="AL3002" s="19"/>
    </row>
    <row r="3003" spans="1:38" s="11" customFormat="1" x14ac:dyDescent="0.25">
      <c r="A3003" s="3"/>
      <c r="F3003" s="19"/>
      <c r="G3003" s="19"/>
      <c r="N3003" s="19"/>
      <c r="P3003" s="19"/>
      <c r="AL3003" s="19"/>
    </row>
    <row r="3004" spans="1:38" s="11" customFormat="1" x14ac:dyDescent="0.25">
      <c r="A3004" s="3"/>
      <c r="F3004" s="19"/>
      <c r="G3004" s="19"/>
      <c r="N3004" s="19"/>
      <c r="P3004" s="19"/>
      <c r="AL3004" s="19"/>
    </row>
    <row r="3005" spans="1:38" s="11" customFormat="1" x14ac:dyDescent="0.25">
      <c r="A3005" s="3"/>
      <c r="F3005" s="19"/>
      <c r="G3005" s="19"/>
      <c r="N3005" s="19"/>
      <c r="P3005" s="19"/>
      <c r="AL3005" s="19"/>
    </row>
    <row r="3006" spans="1:38" s="11" customFormat="1" x14ac:dyDescent="0.25">
      <c r="A3006" s="3"/>
      <c r="F3006" s="19"/>
      <c r="G3006" s="19"/>
      <c r="N3006" s="19"/>
      <c r="P3006" s="19"/>
      <c r="AL3006" s="19"/>
    </row>
    <row r="3007" spans="1:38" s="11" customFormat="1" x14ac:dyDescent="0.25">
      <c r="A3007" s="3"/>
      <c r="F3007" s="19"/>
      <c r="G3007" s="19"/>
      <c r="N3007" s="19"/>
      <c r="P3007" s="19"/>
      <c r="AL3007" s="19"/>
    </row>
    <row r="3008" spans="1:38" s="11" customFormat="1" x14ac:dyDescent="0.25">
      <c r="A3008" s="3"/>
      <c r="F3008" s="19"/>
      <c r="G3008" s="19"/>
      <c r="N3008" s="19"/>
      <c r="P3008" s="19"/>
      <c r="AL3008" s="19"/>
    </row>
    <row r="3009" spans="1:38" s="11" customFormat="1" x14ac:dyDescent="0.25">
      <c r="A3009" s="3"/>
      <c r="F3009" s="19"/>
      <c r="G3009" s="19"/>
      <c r="N3009" s="19"/>
      <c r="P3009" s="19"/>
      <c r="AL3009" s="19"/>
    </row>
    <row r="3010" spans="1:38" s="11" customFormat="1" x14ac:dyDescent="0.25">
      <c r="A3010" s="3"/>
      <c r="F3010" s="19"/>
      <c r="G3010" s="19"/>
      <c r="N3010" s="19"/>
      <c r="P3010" s="19"/>
      <c r="AL3010" s="19"/>
    </row>
    <row r="3011" spans="1:38" s="11" customFormat="1" x14ac:dyDescent="0.25">
      <c r="A3011" s="3"/>
      <c r="F3011" s="19"/>
      <c r="G3011" s="19"/>
      <c r="N3011" s="19"/>
      <c r="P3011" s="19"/>
      <c r="AL3011" s="19"/>
    </row>
    <row r="3012" spans="1:38" s="11" customFormat="1" x14ac:dyDescent="0.25">
      <c r="A3012" s="3"/>
      <c r="F3012" s="19"/>
      <c r="G3012" s="19"/>
      <c r="N3012" s="19"/>
      <c r="P3012" s="19"/>
      <c r="AL3012" s="19"/>
    </row>
    <row r="3013" spans="1:38" s="11" customFormat="1" x14ac:dyDescent="0.25">
      <c r="A3013" s="3"/>
      <c r="F3013" s="19"/>
      <c r="G3013" s="19"/>
      <c r="N3013" s="19"/>
      <c r="P3013" s="19"/>
      <c r="AL3013" s="19"/>
    </row>
    <row r="3014" spans="1:38" s="11" customFormat="1" x14ac:dyDescent="0.25">
      <c r="A3014" s="3"/>
      <c r="F3014" s="19"/>
      <c r="G3014" s="19"/>
      <c r="N3014" s="19"/>
      <c r="P3014" s="19"/>
      <c r="AL3014" s="19"/>
    </row>
    <row r="3015" spans="1:38" s="11" customFormat="1" x14ac:dyDescent="0.25">
      <c r="A3015" s="3"/>
      <c r="F3015" s="19"/>
      <c r="G3015" s="19"/>
      <c r="N3015" s="19"/>
      <c r="P3015" s="19"/>
      <c r="AL3015" s="19"/>
    </row>
    <row r="3016" spans="1:38" s="11" customFormat="1" x14ac:dyDescent="0.25">
      <c r="A3016" s="3"/>
      <c r="F3016" s="19"/>
      <c r="G3016" s="19"/>
      <c r="N3016" s="19"/>
      <c r="P3016" s="19"/>
      <c r="AL3016" s="19"/>
    </row>
    <row r="3017" spans="1:38" s="11" customFormat="1" x14ac:dyDescent="0.25">
      <c r="A3017" s="3"/>
      <c r="F3017" s="19"/>
      <c r="G3017" s="19"/>
      <c r="N3017" s="19"/>
      <c r="P3017" s="19"/>
      <c r="AL3017" s="19"/>
    </row>
    <row r="3018" spans="1:38" s="11" customFormat="1" x14ac:dyDescent="0.25">
      <c r="A3018" s="3"/>
      <c r="F3018" s="19"/>
      <c r="G3018" s="19"/>
      <c r="N3018" s="19"/>
      <c r="P3018" s="19"/>
      <c r="AL3018" s="19"/>
    </row>
    <row r="3019" spans="1:38" s="11" customFormat="1" x14ac:dyDescent="0.25">
      <c r="A3019" s="3"/>
      <c r="F3019" s="19"/>
      <c r="G3019" s="19"/>
      <c r="N3019" s="19"/>
      <c r="P3019" s="19"/>
      <c r="AL3019" s="19"/>
    </row>
    <row r="3020" spans="1:38" s="11" customFormat="1" x14ac:dyDescent="0.25">
      <c r="A3020" s="3"/>
      <c r="F3020" s="19"/>
      <c r="G3020" s="19"/>
      <c r="N3020" s="19"/>
      <c r="P3020" s="19"/>
      <c r="AL3020" s="19"/>
    </row>
    <row r="3021" spans="1:38" s="11" customFormat="1" x14ac:dyDescent="0.25">
      <c r="A3021" s="3"/>
      <c r="F3021" s="19"/>
      <c r="G3021" s="19"/>
      <c r="N3021" s="19"/>
      <c r="P3021" s="19"/>
      <c r="AL3021" s="19"/>
    </row>
    <row r="3022" spans="1:38" s="11" customFormat="1" x14ac:dyDescent="0.25">
      <c r="A3022" s="3"/>
      <c r="F3022" s="19"/>
      <c r="G3022" s="19"/>
      <c r="N3022" s="19"/>
      <c r="P3022" s="19"/>
      <c r="AL3022" s="19"/>
    </row>
    <row r="3023" spans="1:38" s="11" customFormat="1" x14ac:dyDescent="0.25">
      <c r="A3023" s="3"/>
      <c r="F3023" s="19"/>
      <c r="G3023" s="19"/>
      <c r="N3023" s="19"/>
      <c r="P3023" s="19"/>
      <c r="AL3023" s="19"/>
    </row>
    <row r="3024" spans="1:38" s="11" customFormat="1" x14ac:dyDescent="0.25">
      <c r="A3024" s="3"/>
      <c r="F3024" s="19"/>
      <c r="G3024" s="19"/>
      <c r="N3024" s="19"/>
      <c r="P3024" s="19"/>
      <c r="AL3024" s="19"/>
    </row>
    <row r="3025" spans="1:38" s="11" customFormat="1" x14ac:dyDescent="0.25">
      <c r="A3025" s="3"/>
      <c r="F3025" s="19"/>
      <c r="G3025" s="19"/>
      <c r="N3025" s="19"/>
      <c r="P3025" s="19"/>
      <c r="AL3025" s="19"/>
    </row>
    <row r="3026" spans="1:38" s="11" customFormat="1" x14ac:dyDescent="0.25">
      <c r="A3026" s="3"/>
      <c r="F3026" s="19"/>
      <c r="G3026" s="19"/>
      <c r="N3026" s="19"/>
      <c r="P3026" s="19"/>
      <c r="AL3026" s="19"/>
    </row>
    <row r="3027" spans="1:38" s="11" customFormat="1" x14ac:dyDescent="0.25">
      <c r="A3027" s="3"/>
      <c r="F3027" s="19"/>
      <c r="G3027" s="19"/>
      <c r="N3027" s="19"/>
      <c r="P3027" s="19"/>
      <c r="AL3027" s="19"/>
    </row>
    <row r="3028" spans="1:38" s="11" customFormat="1" x14ac:dyDescent="0.25">
      <c r="A3028" s="3"/>
      <c r="F3028" s="19"/>
      <c r="G3028" s="19"/>
      <c r="N3028" s="19"/>
      <c r="P3028" s="19"/>
      <c r="AL3028" s="19"/>
    </row>
    <row r="3029" spans="1:38" s="11" customFormat="1" x14ac:dyDescent="0.25">
      <c r="A3029" s="3"/>
      <c r="F3029" s="19"/>
      <c r="G3029" s="19"/>
      <c r="N3029" s="19"/>
      <c r="P3029" s="19"/>
      <c r="AL3029" s="19"/>
    </row>
    <row r="3030" spans="1:38" s="11" customFormat="1" x14ac:dyDescent="0.25">
      <c r="A3030" s="3"/>
      <c r="F3030" s="19"/>
      <c r="G3030" s="19"/>
      <c r="N3030" s="19"/>
      <c r="P3030" s="19"/>
      <c r="AL3030" s="19"/>
    </row>
    <row r="3031" spans="1:38" s="11" customFormat="1" x14ac:dyDescent="0.25">
      <c r="A3031" s="3"/>
      <c r="F3031" s="19"/>
      <c r="G3031" s="19"/>
      <c r="N3031" s="19"/>
      <c r="P3031" s="19"/>
      <c r="AL3031" s="19"/>
    </row>
    <row r="3032" spans="1:38" s="11" customFormat="1" x14ac:dyDescent="0.25">
      <c r="A3032" s="3"/>
      <c r="F3032" s="19"/>
      <c r="G3032" s="19"/>
      <c r="N3032" s="19"/>
      <c r="P3032" s="19"/>
      <c r="AL3032" s="19"/>
    </row>
    <row r="3033" spans="1:38" s="11" customFormat="1" x14ac:dyDescent="0.25">
      <c r="A3033" s="3"/>
      <c r="F3033" s="19"/>
      <c r="G3033" s="19"/>
      <c r="N3033" s="19"/>
      <c r="P3033" s="19"/>
      <c r="AL3033" s="19"/>
    </row>
    <row r="3034" spans="1:38" s="11" customFormat="1" x14ac:dyDescent="0.25">
      <c r="A3034" s="3"/>
      <c r="F3034" s="19"/>
      <c r="G3034" s="19"/>
      <c r="N3034" s="19"/>
      <c r="P3034" s="19"/>
      <c r="AL3034" s="19"/>
    </row>
    <row r="3035" spans="1:38" s="11" customFormat="1" x14ac:dyDescent="0.25">
      <c r="A3035" s="3"/>
      <c r="F3035" s="19"/>
      <c r="G3035" s="19"/>
      <c r="N3035" s="19"/>
      <c r="P3035" s="19"/>
      <c r="AL3035" s="19"/>
    </row>
    <row r="3036" spans="1:38" s="11" customFormat="1" x14ac:dyDescent="0.25">
      <c r="A3036" s="3"/>
      <c r="F3036" s="19"/>
      <c r="G3036" s="19"/>
      <c r="N3036" s="19"/>
      <c r="P3036" s="19"/>
      <c r="AL3036" s="19"/>
    </row>
    <row r="3037" spans="1:38" s="11" customFormat="1" x14ac:dyDescent="0.25">
      <c r="A3037" s="3"/>
      <c r="F3037" s="19"/>
      <c r="G3037" s="19"/>
      <c r="N3037" s="19"/>
      <c r="P3037" s="19"/>
      <c r="AL3037" s="19"/>
    </row>
    <row r="3038" spans="1:38" s="11" customFormat="1" x14ac:dyDescent="0.25">
      <c r="A3038" s="3"/>
      <c r="F3038" s="19"/>
      <c r="G3038" s="19"/>
      <c r="N3038" s="19"/>
      <c r="P3038" s="19"/>
      <c r="AL3038" s="19"/>
    </row>
    <row r="3039" spans="1:38" s="11" customFormat="1" x14ac:dyDescent="0.25">
      <c r="A3039" s="3"/>
      <c r="F3039" s="19"/>
      <c r="G3039" s="19"/>
      <c r="N3039" s="19"/>
      <c r="P3039" s="19"/>
      <c r="AL3039" s="19"/>
    </row>
    <row r="3040" spans="1:38" s="11" customFormat="1" x14ac:dyDescent="0.25">
      <c r="A3040" s="3"/>
      <c r="F3040" s="19"/>
      <c r="G3040" s="19"/>
      <c r="N3040" s="19"/>
      <c r="P3040" s="19"/>
      <c r="AL3040" s="19"/>
    </row>
    <row r="3041" spans="1:38" s="11" customFormat="1" x14ac:dyDescent="0.25">
      <c r="A3041" s="3"/>
      <c r="F3041" s="19"/>
      <c r="G3041" s="19"/>
      <c r="N3041" s="19"/>
      <c r="P3041" s="19"/>
      <c r="AL3041" s="19"/>
    </row>
    <row r="3042" spans="1:38" s="11" customFormat="1" x14ac:dyDescent="0.25">
      <c r="A3042" s="3"/>
      <c r="F3042" s="19"/>
      <c r="G3042" s="19"/>
      <c r="N3042" s="19"/>
      <c r="P3042" s="19"/>
      <c r="AL3042" s="19"/>
    </row>
    <row r="3043" spans="1:38" s="11" customFormat="1" x14ac:dyDescent="0.25">
      <c r="A3043" s="3"/>
      <c r="F3043" s="19"/>
      <c r="G3043" s="19"/>
      <c r="N3043" s="19"/>
      <c r="P3043" s="19"/>
      <c r="AL3043" s="19"/>
    </row>
    <row r="3044" spans="1:38" s="11" customFormat="1" x14ac:dyDescent="0.25">
      <c r="A3044" s="3"/>
      <c r="F3044" s="19"/>
      <c r="G3044" s="19"/>
      <c r="N3044" s="19"/>
      <c r="P3044" s="19"/>
      <c r="AL3044" s="19"/>
    </row>
    <row r="3045" spans="1:38" s="11" customFormat="1" x14ac:dyDescent="0.25">
      <c r="A3045" s="3"/>
      <c r="F3045" s="19"/>
      <c r="G3045" s="19"/>
      <c r="N3045" s="19"/>
      <c r="P3045" s="19"/>
      <c r="AL3045" s="19"/>
    </row>
    <row r="3046" spans="1:38" s="11" customFormat="1" x14ac:dyDescent="0.25">
      <c r="A3046" s="3"/>
      <c r="F3046" s="19"/>
      <c r="G3046" s="19"/>
      <c r="N3046" s="19"/>
      <c r="P3046" s="19"/>
      <c r="AL3046" s="19"/>
    </row>
    <row r="3047" spans="1:38" s="11" customFormat="1" x14ac:dyDescent="0.25">
      <c r="A3047" s="3"/>
      <c r="F3047" s="19"/>
      <c r="G3047" s="19"/>
      <c r="N3047" s="19"/>
      <c r="P3047" s="19"/>
      <c r="AL3047" s="19"/>
    </row>
    <row r="3048" spans="1:38" s="11" customFormat="1" x14ac:dyDescent="0.25">
      <c r="A3048" s="3"/>
      <c r="F3048" s="19"/>
      <c r="G3048" s="19"/>
      <c r="N3048" s="19"/>
      <c r="P3048" s="19"/>
      <c r="AL3048" s="19"/>
    </row>
    <row r="3049" spans="1:38" s="11" customFormat="1" x14ac:dyDescent="0.25">
      <c r="A3049" s="3"/>
      <c r="F3049" s="19"/>
      <c r="G3049" s="19"/>
      <c r="N3049" s="19"/>
      <c r="P3049" s="19"/>
      <c r="AL3049" s="19"/>
    </row>
    <row r="3050" spans="1:38" s="11" customFormat="1" x14ac:dyDescent="0.25">
      <c r="A3050" s="3"/>
      <c r="F3050" s="19"/>
      <c r="G3050" s="19"/>
      <c r="N3050" s="19"/>
      <c r="P3050" s="19"/>
      <c r="AL3050" s="19"/>
    </row>
    <row r="3051" spans="1:38" s="11" customFormat="1" x14ac:dyDescent="0.25">
      <c r="A3051" s="3"/>
      <c r="F3051" s="19"/>
      <c r="G3051" s="19"/>
      <c r="N3051" s="19"/>
      <c r="P3051" s="19"/>
      <c r="AL3051" s="19"/>
    </row>
    <row r="3052" spans="1:38" s="11" customFormat="1" x14ac:dyDescent="0.25">
      <c r="A3052" s="3"/>
      <c r="F3052" s="19"/>
      <c r="G3052" s="19"/>
      <c r="N3052" s="19"/>
      <c r="P3052" s="19"/>
      <c r="AL3052" s="19"/>
    </row>
    <row r="3053" spans="1:38" s="11" customFormat="1" x14ac:dyDescent="0.25">
      <c r="A3053" s="3"/>
      <c r="F3053" s="19"/>
      <c r="G3053" s="19"/>
      <c r="N3053" s="19"/>
      <c r="P3053" s="19"/>
      <c r="AL3053" s="19"/>
    </row>
    <row r="3054" spans="1:38" s="11" customFormat="1" x14ac:dyDescent="0.25">
      <c r="A3054" s="3"/>
      <c r="F3054" s="19"/>
      <c r="G3054" s="19"/>
      <c r="N3054" s="19"/>
      <c r="P3054" s="19"/>
      <c r="AL3054" s="19"/>
    </row>
    <row r="3055" spans="1:38" s="11" customFormat="1" x14ac:dyDescent="0.25">
      <c r="A3055" s="3"/>
      <c r="F3055" s="19"/>
      <c r="G3055" s="19"/>
      <c r="N3055" s="19"/>
      <c r="P3055" s="19"/>
      <c r="AL3055" s="19"/>
    </row>
    <row r="3056" spans="1:38" s="11" customFormat="1" x14ac:dyDescent="0.25">
      <c r="A3056" s="3"/>
      <c r="F3056" s="19"/>
      <c r="G3056" s="19"/>
      <c r="N3056" s="19"/>
      <c r="P3056" s="19"/>
      <c r="AL3056" s="19"/>
    </row>
    <row r="3057" spans="1:38" s="11" customFormat="1" x14ac:dyDescent="0.25">
      <c r="A3057" s="3"/>
      <c r="F3057" s="19"/>
      <c r="G3057" s="19"/>
      <c r="N3057" s="19"/>
      <c r="P3057" s="19"/>
      <c r="AL3057" s="19"/>
    </row>
    <row r="3058" spans="1:38" s="11" customFormat="1" x14ac:dyDescent="0.25">
      <c r="A3058" s="3"/>
      <c r="F3058" s="19"/>
      <c r="G3058" s="19"/>
      <c r="N3058" s="19"/>
      <c r="P3058" s="19"/>
      <c r="AL3058" s="19"/>
    </row>
    <row r="3059" spans="1:38" s="11" customFormat="1" x14ac:dyDescent="0.25">
      <c r="A3059" s="3"/>
      <c r="F3059" s="19"/>
      <c r="G3059" s="19"/>
      <c r="N3059" s="19"/>
      <c r="P3059" s="19"/>
      <c r="AL3059" s="19"/>
    </row>
    <row r="3060" spans="1:38" s="11" customFormat="1" x14ac:dyDescent="0.25">
      <c r="A3060" s="3"/>
      <c r="F3060" s="19"/>
      <c r="G3060" s="19"/>
      <c r="N3060" s="19"/>
      <c r="P3060" s="19"/>
      <c r="AL3060" s="19"/>
    </row>
    <row r="3061" spans="1:38" s="11" customFormat="1" x14ac:dyDescent="0.25">
      <c r="A3061" s="3"/>
      <c r="F3061" s="19"/>
      <c r="G3061" s="19"/>
      <c r="N3061" s="19"/>
      <c r="P3061" s="19"/>
      <c r="AL3061" s="19"/>
    </row>
    <row r="3062" spans="1:38" s="11" customFormat="1" x14ac:dyDescent="0.25">
      <c r="A3062" s="3"/>
      <c r="F3062" s="19"/>
      <c r="G3062" s="19"/>
      <c r="N3062" s="19"/>
      <c r="P3062" s="19"/>
      <c r="AL3062" s="19"/>
    </row>
    <row r="3063" spans="1:38" s="11" customFormat="1" x14ac:dyDescent="0.25">
      <c r="A3063" s="3"/>
      <c r="F3063" s="19"/>
      <c r="G3063" s="19"/>
      <c r="N3063" s="19"/>
      <c r="P3063" s="19"/>
      <c r="AL3063" s="19"/>
    </row>
    <row r="3064" spans="1:38" s="11" customFormat="1" x14ac:dyDescent="0.25">
      <c r="A3064" s="3"/>
      <c r="F3064" s="19"/>
      <c r="G3064" s="19"/>
      <c r="N3064" s="19"/>
      <c r="P3064" s="19"/>
      <c r="AL3064" s="19"/>
    </row>
    <row r="3065" spans="1:38" s="11" customFormat="1" x14ac:dyDescent="0.25">
      <c r="A3065" s="3"/>
      <c r="F3065" s="19"/>
      <c r="G3065" s="19"/>
      <c r="N3065" s="19"/>
      <c r="P3065" s="19"/>
      <c r="AL3065" s="19"/>
    </row>
    <row r="3066" spans="1:38" s="11" customFormat="1" x14ac:dyDescent="0.25">
      <c r="A3066" s="3"/>
      <c r="F3066" s="19"/>
      <c r="G3066" s="19"/>
      <c r="N3066" s="19"/>
      <c r="P3066" s="19"/>
      <c r="AL3066" s="19"/>
    </row>
    <row r="3067" spans="1:38" s="11" customFormat="1" x14ac:dyDescent="0.25">
      <c r="A3067" s="3"/>
      <c r="F3067" s="19"/>
      <c r="G3067" s="19"/>
      <c r="N3067" s="19"/>
      <c r="P3067" s="19"/>
      <c r="AL3067" s="19"/>
    </row>
    <row r="3068" spans="1:38" s="11" customFormat="1" x14ac:dyDescent="0.25">
      <c r="A3068" s="3"/>
      <c r="F3068" s="19"/>
      <c r="G3068" s="19"/>
      <c r="N3068" s="19"/>
      <c r="P3068" s="19"/>
      <c r="AL3068" s="19"/>
    </row>
    <row r="3069" spans="1:38" s="11" customFormat="1" x14ac:dyDescent="0.25">
      <c r="A3069" s="3"/>
      <c r="F3069" s="19"/>
      <c r="G3069" s="19"/>
      <c r="N3069" s="19"/>
      <c r="P3069" s="19"/>
      <c r="AL3069" s="19"/>
    </row>
    <row r="3070" spans="1:38" s="11" customFormat="1" x14ac:dyDescent="0.25">
      <c r="A3070" s="3"/>
      <c r="F3070" s="19"/>
      <c r="G3070" s="19"/>
      <c r="N3070" s="19"/>
      <c r="P3070" s="19"/>
      <c r="AL3070" s="19"/>
    </row>
    <row r="3071" spans="1:38" s="11" customFormat="1" x14ac:dyDescent="0.25">
      <c r="A3071" s="3"/>
      <c r="F3071" s="19"/>
      <c r="G3071" s="19"/>
      <c r="N3071" s="19"/>
      <c r="P3071" s="19"/>
      <c r="AL3071" s="19"/>
    </row>
    <row r="3072" spans="1:38" s="11" customFormat="1" x14ac:dyDescent="0.25">
      <c r="A3072" s="3"/>
      <c r="F3072" s="19"/>
      <c r="G3072" s="19"/>
      <c r="N3072" s="19"/>
      <c r="P3072" s="19"/>
      <c r="AL3072" s="19"/>
    </row>
    <row r="3073" spans="1:38" s="11" customFormat="1" x14ac:dyDescent="0.25">
      <c r="A3073" s="3"/>
      <c r="F3073" s="19"/>
      <c r="G3073" s="19"/>
      <c r="N3073" s="19"/>
      <c r="P3073" s="19"/>
      <c r="AL3073" s="19"/>
    </row>
    <row r="3074" spans="1:38" s="11" customFormat="1" x14ac:dyDescent="0.25">
      <c r="A3074" s="3"/>
      <c r="F3074" s="19"/>
      <c r="G3074" s="19"/>
      <c r="N3074" s="19"/>
      <c r="P3074" s="19"/>
      <c r="AL3074" s="19"/>
    </row>
    <row r="3075" spans="1:38" s="11" customFormat="1" x14ac:dyDescent="0.25">
      <c r="A3075" s="3"/>
      <c r="F3075" s="19"/>
      <c r="G3075" s="19"/>
      <c r="N3075" s="19"/>
      <c r="P3075" s="19"/>
      <c r="AL3075" s="19"/>
    </row>
    <row r="3076" spans="1:38" s="11" customFormat="1" x14ac:dyDescent="0.25">
      <c r="A3076" s="3"/>
      <c r="F3076" s="19"/>
      <c r="G3076" s="19"/>
      <c r="N3076" s="19"/>
      <c r="P3076" s="19"/>
      <c r="AL3076" s="19"/>
    </row>
    <row r="3077" spans="1:38" s="11" customFormat="1" x14ac:dyDescent="0.25">
      <c r="A3077" s="3"/>
      <c r="F3077" s="19"/>
      <c r="G3077" s="19"/>
      <c r="N3077" s="19"/>
      <c r="P3077" s="19"/>
      <c r="AL3077" s="19"/>
    </row>
    <row r="3078" spans="1:38" s="11" customFormat="1" x14ac:dyDescent="0.25">
      <c r="A3078" s="3"/>
      <c r="F3078" s="19"/>
      <c r="G3078" s="19"/>
      <c r="N3078" s="19"/>
      <c r="P3078" s="19"/>
      <c r="AL3078" s="19"/>
    </row>
    <row r="3079" spans="1:38" s="11" customFormat="1" x14ac:dyDescent="0.25">
      <c r="A3079" s="3"/>
      <c r="F3079" s="19"/>
      <c r="G3079" s="19"/>
      <c r="N3079" s="19"/>
      <c r="P3079" s="19"/>
      <c r="AL3079" s="19"/>
    </row>
    <row r="3080" spans="1:38" s="11" customFormat="1" x14ac:dyDescent="0.25">
      <c r="A3080" s="3"/>
      <c r="F3080" s="19"/>
      <c r="G3080" s="19"/>
      <c r="N3080" s="19"/>
      <c r="P3080" s="19"/>
      <c r="AL3080" s="19"/>
    </row>
    <row r="3081" spans="1:38" s="11" customFormat="1" x14ac:dyDescent="0.25">
      <c r="A3081" s="3"/>
      <c r="F3081" s="19"/>
      <c r="G3081" s="19"/>
      <c r="N3081" s="19"/>
      <c r="P3081" s="19"/>
      <c r="AL3081" s="19"/>
    </row>
    <row r="3082" spans="1:38" s="11" customFormat="1" x14ac:dyDescent="0.25">
      <c r="A3082" s="3"/>
      <c r="F3082" s="19"/>
      <c r="G3082" s="19"/>
      <c r="N3082" s="19"/>
      <c r="P3082" s="19"/>
      <c r="AL3082" s="19"/>
    </row>
    <row r="3083" spans="1:38" s="11" customFormat="1" x14ac:dyDescent="0.25">
      <c r="A3083" s="3"/>
      <c r="F3083" s="19"/>
      <c r="G3083" s="19"/>
      <c r="N3083" s="19"/>
      <c r="P3083" s="19"/>
      <c r="AL3083" s="19"/>
    </row>
    <row r="3084" spans="1:38" s="11" customFormat="1" x14ac:dyDescent="0.25">
      <c r="A3084" s="3"/>
      <c r="F3084" s="19"/>
      <c r="G3084" s="19"/>
      <c r="N3084" s="19"/>
      <c r="P3084" s="19"/>
      <c r="AL3084" s="19"/>
    </row>
    <row r="3085" spans="1:38" s="11" customFormat="1" x14ac:dyDescent="0.25">
      <c r="A3085" s="3"/>
      <c r="F3085" s="19"/>
      <c r="G3085" s="19"/>
      <c r="N3085" s="19"/>
      <c r="P3085" s="19"/>
      <c r="AL3085" s="19"/>
    </row>
    <row r="3086" spans="1:38" s="11" customFormat="1" x14ac:dyDescent="0.25">
      <c r="A3086" s="3"/>
      <c r="F3086" s="19"/>
      <c r="G3086" s="19"/>
      <c r="N3086" s="19"/>
      <c r="P3086" s="19"/>
      <c r="AL3086" s="19"/>
    </row>
    <row r="3087" spans="1:38" s="11" customFormat="1" x14ac:dyDescent="0.25">
      <c r="A3087" s="3"/>
      <c r="F3087" s="19"/>
      <c r="G3087" s="19"/>
      <c r="N3087" s="19"/>
      <c r="P3087" s="19"/>
      <c r="AL3087" s="19"/>
    </row>
    <row r="3088" spans="1:38" s="11" customFormat="1" x14ac:dyDescent="0.25">
      <c r="A3088" s="3"/>
      <c r="F3088" s="19"/>
      <c r="G3088" s="19"/>
      <c r="N3088" s="19"/>
      <c r="P3088" s="19"/>
      <c r="AL3088" s="19"/>
    </row>
    <row r="3089" spans="1:38" s="11" customFormat="1" x14ac:dyDescent="0.25">
      <c r="A3089" s="3"/>
      <c r="F3089" s="19"/>
      <c r="G3089" s="19"/>
      <c r="N3089" s="19"/>
      <c r="P3089" s="19"/>
      <c r="AL3089" s="19"/>
    </row>
    <row r="3090" spans="1:38" s="11" customFormat="1" x14ac:dyDescent="0.25">
      <c r="A3090" s="3"/>
      <c r="F3090" s="19"/>
      <c r="G3090" s="19"/>
      <c r="N3090" s="19"/>
      <c r="P3090" s="19"/>
      <c r="AL3090" s="19"/>
    </row>
    <row r="3091" spans="1:38" s="11" customFormat="1" x14ac:dyDescent="0.25">
      <c r="A3091" s="3"/>
      <c r="F3091" s="19"/>
      <c r="G3091" s="19"/>
      <c r="N3091" s="19"/>
      <c r="P3091" s="19"/>
      <c r="AL3091" s="19"/>
    </row>
    <row r="3092" spans="1:38" s="11" customFormat="1" x14ac:dyDescent="0.25">
      <c r="A3092" s="3"/>
      <c r="F3092" s="19"/>
      <c r="G3092" s="19"/>
      <c r="N3092" s="19"/>
      <c r="P3092" s="19"/>
      <c r="AL3092" s="19"/>
    </row>
    <row r="3093" spans="1:38" s="11" customFormat="1" x14ac:dyDescent="0.25">
      <c r="A3093" s="3"/>
      <c r="F3093" s="19"/>
      <c r="G3093" s="19"/>
      <c r="N3093" s="19"/>
      <c r="P3093" s="19"/>
      <c r="AL3093" s="19"/>
    </row>
    <row r="3094" spans="1:38" s="11" customFormat="1" x14ac:dyDescent="0.25">
      <c r="A3094" s="3"/>
      <c r="F3094" s="19"/>
      <c r="G3094" s="19"/>
      <c r="N3094" s="19"/>
      <c r="P3094" s="19"/>
      <c r="AL3094" s="19"/>
    </row>
    <row r="3095" spans="1:38" s="11" customFormat="1" x14ac:dyDescent="0.25">
      <c r="A3095" s="3"/>
      <c r="F3095" s="19"/>
      <c r="G3095" s="19"/>
      <c r="N3095" s="19"/>
      <c r="P3095" s="19"/>
      <c r="AL3095" s="19"/>
    </row>
    <row r="3096" spans="1:38" s="11" customFormat="1" x14ac:dyDescent="0.25">
      <c r="A3096" s="3"/>
      <c r="F3096" s="19"/>
      <c r="G3096" s="19"/>
      <c r="N3096" s="19"/>
      <c r="P3096" s="19"/>
      <c r="AL3096" s="19"/>
    </row>
    <row r="3097" spans="1:38" s="11" customFormat="1" x14ac:dyDescent="0.25">
      <c r="A3097" s="3"/>
      <c r="F3097" s="19"/>
      <c r="G3097" s="19"/>
      <c r="N3097" s="19"/>
      <c r="P3097" s="19"/>
      <c r="AL3097" s="19"/>
    </row>
    <row r="3098" spans="1:38" s="11" customFormat="1" x14ac:dyDescent="0.25">
      <c r="A3098" s="3"/>
      <c r="F3098" s="19"/>
      <c r="G3098" s="19"/>
      <c r="N3098" s="19"/>
      <c r="P3098" s="19"/>
      <c r="AL3098" s="19"/>
    </row>
    <row r="3099" spans="1:38" s="11" customFormat="1" x14ac:dyDescent="0.25">
      <c r="A3099" s="3"/>
      <c r="F3099" s="19"/>
      <c r="G3099" s="19"/>
      <c r="N3099" s="19"/>
      <c r="P3099" s="19"/>
      <c r="AL3099" s="19"/>
    </row>
    <row r="3100" spans="1:38" s="11" customFormat="1" x14ac:dyDescent="0.25">
      <c r="A3100" s="3"/>
      <c r="F3100" s="19"/>
      <c r="G3100" s="19"/>
      <c r="N3100" s="19"/>
      <c r="P3100" s="19"/>
      <c r="AL3100" s="19"/>
    </row>
    <row r="3101" spans="1:38" s="11" customFormat="1" x14ac:dyDescent="0.25">
      <c r="A3101" s="3"/>
      <c r="F3101" s="19"/>
      <c r="G3101" s="19"/>
      <c r="N3101" s="19"/>
      <c r="P3101" s="19"/>
      <c r="AL3101" s="19"/>
    </row>
    <row r="3102" spans="1:38" s="11" customFormat="1" x14ac:dyDescent="0.25">
      <c r="A3102" s="3"/>
      <c r="F3102" s="19"/>
      <c r="G3102" s="19"/>
      <c r="N3102" s="19"/>
      <c r="P3102" s="19"/>
      <c r="AL3102" s="19"/>
    </row>
    <row r="3103" spans="1:38" s="11" customFormat="1" x14ac:dyDescent="0.25">
      <c r="A3103" s="3"/>
      <c r="F3103" s="19"/>
      <c r="G3103" s="19"/>
      <c r="N3103" s="19"/>
      <c r="P3103" s="19"/>
      <c r="AL3103" s="19"/>
    </row>
    <row r="3104" spans="1:38" s="11" customFormat="1" x14ac:dyDescent="0.25">
      <c r="A3104" s="3"/>
      <c r="F3104" s="19"/>
      <c r="G3104" s="19"/>
      <c r="N3104" s="19"/>
      <c r="P3104" s="19"/>
      <c r="AL3104" s="19"/>
    </row>
    <row r="3105" spans="1:38" s="11" customFormat="1" x14ac:dyDescent="0.25">
      <c r="A3105" s="3"/>
      <c r="F3105" s="19"/>
      <c r="G3105" s="19"/>
      <c r="N3105" s="19"/>
      <c r="P3105" s="19"/>
      <c r="AL3105" s="19"/>
    </row>
    <row r="3106" spans="1:38" s="11" customFormat="1" x14ac:dyDescent="0.25">
      <c r="A3106" s="3"/>
      <c r="F3106" s="19"/>
      <c r="G3106" s="19"/>
      <c r="N3106" s="19"/>
      <c r="P3106" s="19"/>
      <c r="AL3106" s="19"/>
    </row>
    <row r="3107" spans="1:38" s="11" customFormat="1" x14ac:dyDescent="0.25">
      <c r="A3107" s="3"/>
      <c r="F3107" s="19"/>
      <c r="G3107" s="19"/>
      <c r="N3107" s="19"/>
      <c r="P3107" s="19"/>
      <c r="AL3107" s="19"/>
    </row>
    <row r="3108" spans="1:38" s="11" customFormat="1" x14ac:dyDescent="0.25">
      <c r="A3108" s="3"/>
      <c r="F3108" s="19"/>
      <c r="G3108" s="19"/>
      <c r="N3108" s="19"/>
      <c r="P3108" s="19"/>
      <c r="AL3108" s="19"/>
    </row>
    <row r="3109" spans="1:38" s="11" customFormat="1" x14ac:dyDescent="0.25">
      <c r="A3109" s="3"/>
      <c r="F3109" s="19"/>
      <c r="G3109" s="19"/>
      <c r="N3109" s="19"/>
      <c r="P3109" s="19"/>
      <c r="AL3109" s="19"/>
    </row>
    <row r="3110" spans="1:38" s="11" customFormat="1" x14ac:dyDescent="0.25">
      <c r="A3110" s="3"/>
      <c r="F3110" s="19"/>
      <c r="G3110" s="19"/>
      <c r="N3110" s="19"/>
      <c r="P3110" s="19"/>
      <c r="AL3110" s="19"/>
    </row>
    <row r="3111" spans="1:38" s="11" customFormat="1" x14ac:dyDescent="0.25">
      <c r="A3111" s="3"/>
      <c r="F3111" s="19"/>
      <c r="G3111" s="19"/>
      <c r="N3111" s="19"/>
      <c r="P3111" s="19"/>
      <c r="AL3111" s="19"/>
    </row>
    <row r="3112" spans="1:38" s="11" customFormat="1" x14ac:dyDescent="0.25">
      <c r="A3112" s="3"/>
      <c r="F3112" s="19"/>
      <c r="G3112" s="19"/>
      <c r="N3112" s="19"/>
      <c r="P3112" s="19"/>
      <c r="AL3112" s="19"/>
    </row>
    <row r="3113" spans="1:38" s="11" customFormat="1" x14ac:dyDescent="0.25">
      <c r="A3113" s="3"/>
      <c r="F3113" s="19"/>
      <c r="G3113" s="19"/>
      <c r="N3113" s="19"/>
      <c r="P3113" s="19"/>
      <c r="AL3113" s="19"/>
    </row>
    <row r="3114" spans="1:38" s="11" customFormat="1" x14ac:dyDescent="0.25">
      <c r="A3114" s="3"/>
      <c r="F3114" s="19"/>
      <c r="G3114" s="19"/>
      <c r="N3114" s="19"/>
      <c r="P3114" s="19"/>
      <c r="AL3114" s="19"/>
    </row>
    <row r="3115" spans="1:38" s="11" customFormat="1" x14ac:dyDescent="0.25">
      <c r="A3115" s="3"/>
      <c r="F3115" s="19"/>
      <c r="G3115" s="19"/>
      <c r="N3115" s="19"/>
      <c r="P3115" s="19"/>
      <c r="AL3115" s="19"/>
    </row>
    <row r="3116" spans="1:38" s="11" customFormat="1" x14ac:dyDescent="0.25">
      <c r="A3116" s="3"/>
      <c r="F3116" s="19"/>
      <c r="G3116" s="19"/>
      <c r="N3116" s="19"/>
      <c r="P3116" s="19"/>
      <c r="AL3116" s="19"/>
    </row>
    <row r="3117" spans="1:38" s="11" customFormat="1" x14ac:dyDescent="0.25">
      <c r="A3117" s="3"/>
      <c r="F3117" s="19"/>
      <c r="G3117" s="19"/>
      <c r="N3117" s="19"/>
      <c r="P3117" s="19"/>
      <c r="AL3117" s="19"/>
    </row>
    <row r="3118" spans="1:38" s="11" customFormat="1" x14ac:dyDescent="0.25">
      <c r="A3118" s="3"/>
      <c r="F3118" s="19"/>
      <c r="G3118" s="19"/>
      <c r="N3118" s="19"/>
      <c r="P3118" s="19"/>
      <c r="AL3118" s="19"/>
    </row>
    <row r="3119" spans="1:38" s="11" customFormat="1" x14ac:dyDescent="0.25">
      <c r="A3119" s="3"/>
      <c r="F3119" s="19"/>
      <c r="G3119" s="19"/>
      <c r="N3119" s="19"/>
      <c r="P3119" s="19"/>
      <c r="AL3119" s="19"/>
    </row>
    <row r="3120" spans="1:38" s="11" customFormat="1" x14ac:dyDescent="0.25">
      <c r="A3120" s="3"/>
      <c r="F3120" s="19"/>
      <c r="G3120" s="19"/>
      <c r="N3120" s="19"/>
      <c r="P3120" s="19"/>
      <c r="AL3120" s="19"/>
    </row>
    <row r="3121" spans="1:38" s="11" customFormat="1" x14ac:dyDescent="0.25">
      <c r="A3121" s="3"/>
      <c r="F3121" s="19"/>
      <c r="G3121" s="19"/>
      <c r="N3121" s="19"/>
      <c r="P3121" s="19"/>
      <c r="AL3121" s="19"/>
    </row>
    <row r="3122" spans="1:38" s="11" customFormat="1" x14ac:dyDescent="0.25">
      <c r="A3122" s="3"/>
      <c r="F3122" s="19"/>
      <c r="G3122" s="19"/>
      <c r="N3122" s="19"/>
      <c r="P3122" s="19"/>
      <c r="AL3122" s="19"/>
    </row>
    <row r="3123" spans="1:38" s="11" customFormat="1" x14ac:dyDescent="0.25">
      <c r="A3123" s="3"/>
      <c r="F3123" s="19"/>
      <c r="G3123" s="19"/>
      <c r="N3123" s="19"/>
      <c r="P3123" s="19"/>
      <c r="AL3123" s="19"/>
    </row>
    <row r="3124" spans="1:38" s="11" customFormat="1" x14ac:dyDescent="0.25">
      <c r="A3124" s="3"/>
      <c r="F3124" s="19"/>
      <c r="G3124" s="19"/>
      <c r="N3124" s="19"/>
      <c r="P3124" s="19"/>
      <c r="AL3124" s="19"/>
    </row>
    <row r="3125" spans="1:38" s="11" customFormat="1" x14ac:dyDescent="0.25">
      <c r="A3125" s="3"/>
      <c r="F3125" s="19"/>
      <c r="G3125" s="19"/>
      <c r="N3125" s="19"/>
      <c r="P3125" s="19"/>
      <c r="AL3125" s="19"/>
    </row>
    <row r="3126" spans="1:38" s="11" customFormat="1" x14ac:dyDescent="0.25">
      <c r="A3126" s="3"/>
      <c r="F3126" s="19"/>
      <c r="G3126" s="19"/>
      <c r="N3126" s="19"/>
      <c r="P3126" s="19"/>
      <c r="AL3126" s="19"/>
    </row>
    <row r="3127" spans="1:38" s="11" customFormat="1" x14ac:dyDescent="0.25">
      <c r="A3127" s="3"/>
      <c r="F3127" s="19"/>
      <c r="G3127" s="19"/>
      <c r="N3127" s="19"/>
      <c r="P3127" s="19"/>
      <c r="AL3127" s="19"/>
    </row>
    <row r="3128" spans="1:38" s="11" customFormat="1" x14ac:dyDescent="0.25">
      <c r="A3128" s="3"/>
      <c r="F3128" s="19"/>
      <c r="G3128" s="19"/>
      <c r="N3128" s="19"/>
      <c r="P3128" s="19"/>
      <c r="AL3128" s="19"/>
    </row>
    <row r="3129" spans="1:38" s="11" customFormat="1" x14ac:dyDescent="0.25">
      <c r="A3129" s="3"/>
      <c r="F3129" s="19"/>
      <c r="G3129" s="19"/>
      <c r="N3129" s="19"/>
      <c r="P3129" s="19"/>
      <c r="AL3129" s="19"/>
    </row>
    <row r="3130" spans="1:38" s="11" customFormat="1" x14ac:dyDescent="0.25">
      <c r="A3130" s="3"/>
      <c r="F3130" s="19"/>
      <c r="G3130" s="19"/>
      <c r="N3130" s="19"/>
      <c r="P3130" s="19"/>
      <c r="AL3130" s="19"/>
    </row>
    <row r="3131" spans="1:38" s="11" customFormat="1" x14ac:dyDescent="0.25">
      <c r="A3131" s="3"/>
      <c r="F3131" s="19"/>
      <c r="G3131" s="19"/>
      <c r="N3131" s="19"/>
      <c r="P3131" s="19"/>
      <c r="AL3131" s="19"/>
    </row>
    <row r="3132" spans="1:38" s="11" customFormat="1" x14ac:dyDescent="0.25">
      <c r="A3132" s="3"/>
      <c r="F3132" s="19"/>
      <c r="G3132" s="19"/>
      <c r="N3132" s="19"/>
      <c r="P3132" s="19"/>
      <c r="AL3132" s="19"/>
    </row>
    <row r="3133" spans="1:38" s="11" customFormat="1" x14ac:dyDescent="0.25">
      <c r="A3133" s="3"/>
      <c r="F3133" s="19"/>
      <c r="G3133" s="19"/>
      <c r="N3133" s="19"/>
      <c r="P3133" s="19"/>
      <c r="AL3133" s="19"/>
    </row>
    <row r="3134" spans="1:38" s="11" customFormat="1" x14ac:dyDescent="0.25">
      <c r="A3134" s="3"/>
      <c r="F3134" s="19"/>
      <c r="G3134" s="19"/>
      <c r="N3134" s="19"/>
      <c r="P3134" s="19"/>
      <c r="AL3134" s="19"/>
    </row>
    <row r="3135" spans="1:38" s="11" customFormat="1" x14ac:dyDescent="0.25">
      <c r="A3135" s="3"/>
      <c r="F3135" s="19"/>
      <c r="G3135" s="19"/>
      <c r="N3135" s="19"/>
      <c r="P3135" s="19"/>
      <c r="AL3135" s="19"/>
    </row>
    <row r="3136" spans="1:38" s="11" customFormat="1" x14ac:dyDescent="0.25">
      <c r="A3136" s="3"/>
      <c r="F3136" s="19"/>
      <c r="G3136" s="19"/>
      <c r="N3136" s="19"/>
      <c r="P3136" s="19"/>
      <c r="AL3136" s="19"/>
    </row>
    <row r="3137" spans="1:38" s="11" customFormat="1" x14ac:dyDescent="0.25">
      <c r="A3137" s="3"/>
      <c r="F3137" s="19"/>
      <c r="G3137" s="19"/>
      <c r="N3137" s="19"/>
      <c r="P3137" s="19"/>
      <c r="AL3137" s="19"/>
    </row>
    <row r="3138" spans="1:38" s="11" customFormat="1" x14ac:dyDescent="0.25">
      <c r="A3138" s="3"/>
      <c r="F3138" s="19"/>
      <c r="G3138" s="19"/>
      <c r="N3138" s="19"/>
      <c r="P3138" s="19"/>
      <c r="AL3138" s="19"/>
    </row>
    <row r="3139" spans="1:38" s="11" customFormat="1" x14ac:dyDescent="0.25">
      <c r="A3139" s="3"/>
      <c r="F3139" s="19"/>
      <c r="G3139" s="19"/>
      <c r="N3139" s="19"/>
      <c r="P3139" s="19"/>
      <c r="AL3139" s="19"/>
    </row>
    <row r="3140" spans="1:38" s="11" customFormat="1" x14ac:dyDescent="0.25">
      <c r="A3140" s="3"/>
      <c r="F3140" s="19"/>
      <c r="G3140" s="19"/>
      <c r="N3140" s="19"/>
      <c r="P3140" s="19"/>
      <c r="AL3140" s="19"/>
    </row>
    <row r="3141" spans="1:38" s="11" customFormat="1" x14ac:dyDescent="0.25">
      <c r="A3141" s="3"/>
      <c r="F3141" s="19"/>
      <c r="G3141" s="19"/>
      <c r="N3141" s="19"/>
      <c r="P3141" s="19"/>
      <c r="AL3141" s="19"/>
    </row>
    <row r="3142" spans="1:38" s="11" customFormat="1" x14ac:dyDescent="0.25">
      <c r="A3142" s="3"/>
      <c r="F3142" s="19"/>
      <c r="G3142" s="19"/>
      <c r="N3142" s="19"/>
      <c r="P3142" s="19"/>
      <c r="AL3142" s="19"/>
    </row>
    <row r="3143" spans="1:38" s="11" customFormat="1" x14ac:dyDescent="0.25">
      <c r="A3143" s="3"/>
      <c r="F3143" s="19"/>
      <c r="G3143" s="19"/>
      <c r="N3143" s="19"/>
      <c r="P3143" s="19"/>
      <c r="AL3143" s="19"/>
    </row>
    <row r="3144" spans="1:38" s="11" customFormat="1" x14ac:dyDescent="0.25">
      <c r="A3144" s="3"/>
      <c r="F3144" s="19"/>
      <c r="G3144" s="19"/>
      <c r="N3144" s="19"/>
      <c r="P3144" s="19"/>
      <c r="AL3144" s="19"/>
    </row>
    <row r="3145" spans="1:38" s="11" customFormat="1" x14ac:dyDescent="0.25">
      <c r="A3145" s="3"/>
      <c r="F3145" s="19"/>
      <c r="G3145" s="19"/>
      <c r="N3145" s="19"/>
      <c r="P3145" s="19"/>
      <c r="AL3145" s="19"/>
    </row>
    <row r="3146" spans="1:38" s="11" customFormat="1" x14ac:dyDescent="0.25">
      <c r="A3146" s="3"/>
      <c r="F3146" s="19"/>
      <c r="G3146" s="19"/>
      <c r="N3146" s="19"/>
      <c r="P3146" s="19"/>
      <c r="AL3146" s="19"/>
    </row>
    <row r="3147" spans="1:38" s="11" customFormat="1" x14ac:dyDescent="0.25">
      <c r="A3147" s="3"/>
      <c r="F3147" s="19"/>
      <c r="G3147" s="19"/>
      <c r="N3147" s="19"/>
      <c r="P3147" s="19"/>
      <c r="AL3147" s="19"/>
    </row>
    <row r="3148" spans="1:38" s="11" customFormat="1" x14ac:dyDescent="0.25">
      <c r="A3148" s="3"/>
      <c r="F3148" s="19"/>
      <c r="G3148" s="19"/>
      <c r="N3148" s="19"/>
      <c r="P3148" s="19"/>
      <c r="AL3148" s="19"/>
    </row>
    <row r="3149" spans="1:38" s="11" customFormat="1" x14ac:dyDescent="0.25">
      <c r="A3149" s="3"/>
      <c r="F3149" s="19"/>
      <c r="G3149" s="19"/>
      <c r="N3149" s="19"/>
      <c r="P3149" s="19"/>
      <c r="AL3149" s="19"/>
    </row>
    <row r="3150" spans="1:38" s="11" customFormat="1" x14ac:dyDescent="0.25">
      <c r="A3150" s="3"/>
      <c r="F3150" s="19"/>
      <c r="G3150" s="19"/>
      <c r="N3150" s="19"/>
      <c r="P3150" s="19"/>
      <c r="AL3150" s="19"/>
    </row>
    <row r="3151" spans="1:38" s="11" customFormat="1" x14ac:dyDescent="0.25">
      <c r="A3151" s="3"/>
      <c r="F3151" s="19"/>
      <c r="G3151" s="19"/>
      <c r="N3151" s="19"/>
      <c r="P3151" s="19"/>
      <c r="AL3151" s="19"/>
    </row>
    <row r="3152" spans="1:38" s="11" customFormat="1" x14ac:dyDescent="0.25">
      <c r="A3152" s="3"/>
      <c r="F3152" s="19"/>
      <c r="G3152" s="19"/>
      <c r="N3152" s="19"/>
      <c r="P3152" s="19"/>
      <c r="AL3152" s="19"/>
    </row>
    <row r="3153" spans="1:38" s="11" customFormat="1" x14ac:dyDescent="0.25">
      <c r="A3153" s="3"/>
      <c r="F3153" s="19"/>
      <c r="G3153" s="19"/>
      <c r="N3153" s="19"/>
      <c r="P3153" s="19"/>
      <c r="AL3153" s="19"/>
    </row>
    <row r="3154" spans="1:38" s="11" customFormat="1" x14ac:dyDescent="0.25">
      <c r="A3154" s="3"/>
      <c r="F3154" s="19"/>
      <c r="G3154" s="19"/>
      <c r="N3154" s="19"/>
      <c r="P3154" s="19"/>
      <c r="AL3154" s="19"/>
    </row>
    <row r="3155" spans="1:38" s="11" customFormat="1" x14ac:dyDescent="0.25">
      <c r="A3155" s="3"/>
      <c r="F3155" s="19"/>
      <c r="G3155" s="19"/>
      <c r="N3155" s="19"/>
      <c r="P3155" s="19"/>
      <c r="AL3155" s="19"/>
    </row>
    <row r="3156" spans="1:38" s="11" customFormat="1" x14ac:dyDescent="0.25">
      <c r="A3156" s="3"/>
      <c r="F3156" s="19"/>
      <c r="G3156" s="19"/>
      <c r="N3156" s="19"/>
      <c r="P3156" s="19"/>
      <c r="AL3156" s="19"/>
    </row>
    <row r="3157" spans="1:38" s="11" customFormat="1" x14ac:dyDescent="0.25">
      <c r="A3157" s="3"/>
      <c r="F3157" s="19"/>
      <c r="G3157" s="19"/>
      <c r="N3157" s="19"/>
      <c r="P3157" s="19"/>
      <c r="AL3157" s="19"/>
    </row>
    <row r="3158" spans="1:38" s="11" customFormat="1" x14ac:dyDescent="0.25">
      <c r="A3158" s="3"/>
      <c r="F3158" s="19"/>
      <c r="G3158" s="19"/>
      <c r="N3158" s="19"/>
      <c r="P3158" s="19"/>
      <c r="AL3158" s="19"/>
    </row>
    <row r="3159" spans="1:38" s="11" customFormat="1" x14ac:dyDescent="0.25">
      <c r="A3159" s="3"/>
      <c r="F3159" s="19"/>
      <c r="G3159" s="19"/>
      <c r="N3159" s="19"/>
      <c r="P3159" s="19"/>
      <c r="AL3159" s="19"/>
    </row>
    <row r="3160" spans="1:38" s="11" customFormat="1" x14ac:dyDescent="0.25">
      <c r="A3160" s="3"/>
      <c r="F3160" s="19"/>
      <c r="G3160" s="19"/>
      <c r="N3160" s="19"/>
      <c r="P3160" s="19"/>
      <c r="AL3160" s="19"/>
    </row>
    <row r="3161" spans="1:38" s="11" customFormat="1" x14ac:dyDescent="0.25">
      <c r="A3161" s="3"/>
      <c r="F3161" s="19"/>
      <c r="G3161" s="19"/>
      <c r="N3161" s="19"/>
      <c r="P3161" s="19"/>
      <c r="AL3161" s="19"/>
    </row>
    <row r="3162" spans="1:38" s="11" customFormat="1" x14ac:dyDescent="0.25">
      <c r="A3162" s="3"/>
      <c r="F3162" s="19"/>
      <c r="G3162" s="19"/>
      <c r="N3162" s="19"/>
      <c r="P3162" s="19"/>
      <c r="AL3162" s="19"/>
    </row>
    <row r="3163" spans="1:38" s="11" customFormat="1" x14ac:dyDescent="0.25">
      <c r="A3163" s="3"/>
      <c r="F3163" s="19"/>
      <c r="G3163" s="19"/>
      <c r="N3163" s="19"/>
      <c r="P3163" s="19"/>
      <c r="AL3163" s="19"/>
    </row>
    <row r="3164" spans="1:38" s="11" customFormat="1" x14ac:dyDescent="0.25">
      <c r="A3164" s="3"/>
      <c r="F3164" s="19"/>
      <c r="G3164" s="19"/>
      <c r="N3164" s="19"/>
      <c r="P3164" s="19"/>
      <c r="AL3164" s="19"/>
    </row>
    <row r="3165" spans="1:38" s="11" customFormat="1" x14ac:dyDescent="0.25">
      <c r="A3165" s="3"/>
      <c r="F3165" s="19"/>
      <c r="G3165" s="19"/>
      <c r="N3165" s="19"/>
      <c r="P3165" s="19"/>
      <c r="AL3165" s="19"/>
    </row>
    <row r="3166" spans="1:38" s="11" customFormat="1" x14ac:dyDescent="0.25">
      <c r="A3166" s="3"/>
      <c r="F3166" s="19"/>
      <c r="G3166" s="19"/>
      <c r="N3166" s="19"/>
      <c r="P3166" s="19"/>
      <c r="AL3166" s="19"/>
    </row>
    <row r="3167" spans="1:38" s="11" customFormat="1" x14ac:dyDescent="0.25">
      <c r="A3167" s="3"/>
      <c r="F3167" s="19"/>
      <c r="G3167" s="19"/>
      <c r="N3167" s="19"/>
      <c r="P3167" s="19"/>
      <c r="AL3167" s="19"/>
    </row>
    <row r="3168" spans="1:38" s="11" customFormat="1" x14ac:dyDescent="0.25">
      <c r="A3168" s="3"/>
      <c r="F3168" s="19"/>
      <c r="G3168" s="19"/>
      <c r="N3168" s="19"/>
      <c r="P3168" s="19"/>
      <c r="AL3168" s="19"/>
    </row>
    <row r="3169" spans="1:38" s="11" customFormat="1" x14ac:dyDescent="0.25">
      <c r="A3169" s="3"/>
      <c r="F3169" s="19"/>
      <c r="G3169" s="19"/>
      <c r="N3169" s="19"/>
      <c r="P3169" s="19"/>
      <c r="AL3169" s="19"/>
    </row>
    <row r="3170" spans="1:38" s="11" customFormat="1" x14ac:dyDescent="0.25">
      <c r="A3170" s="3"/>
      <c r="F3170" s="19"/>
      <c r="G3170" s="19"/>
      <c r="N3170" s="19"/>
      <c r="P3170" s="19"/>
      <c r="AL3170" s="19"/>
    </row>
    <row r="3171" spans="1:38" s="11" customFormat="1" x14ac:dyDescent="0.25">
      <c r="A3171" s="3"/>
      <c r="F3171" s="19"/>
      <c r="G3171" s="19"/>
      <c r="N3171" s="19"/>
      <c r="P3171" s="19"/>
      <c r="AL3171" s="19"/>
    </row>
    <row r="3172" spans="1:38" s="11" customFormat="1" x14ac:dyDescent="0.25">
      <c r="A3172" s="3"/>
      <c r="F3172" s="19"/>
      <c r="G3172" s="19"/>
      <c r="N3172" s="19"/>
      <c r="P3172" s="19"/>
      <c r="AL3172" s="19"/>
    </row>
    <row r="3173" spans="1:38" s="11" customFormat="1" x14ac:dyDescent="0.25">
      <c r="A3173" s="3"/>
      <c r="F3173" s="19"/>
      <c r="G3173" s="19"/>
      <c r="N3173" s="19"/>
      <c r="P3173" s="19"/>
      <c r="AL3173" s="19"/>
    </row>
    <row r="3174" spans="1:38" s="11" customFormat="1" x14ac:dyDescent="0.25">
      <c r="A3174" s="3"/>
      <c r="F3174" s="19"/>
      <c r="G3174" s="19"/>
      <c r="N3174" s="19"/>
      <c r="P3174" s="19"/>
      <c r="AL3174" s="19"/>
    </row>
    <row r="3175" spans="1:38" s="11" customFormat="1" x14ac:dyDescent="0.25">
      <c r="A3175" s="3"/>
      <c r="F3175" s="19"/>
      <c r="G3175" s="19"/>
      <c r="N3175" s="19"/>
      <c r="P3175" s="19"/>
      <c r="AL3175" s="19"/>
    </row>
    <row r="3176" spans="1:38" s="11" customFormat="1" x14ac:dyDescent="0.25">
      <c r="A3176" s="3"/>
      <c r="F3176" s="19"/>
      <c r="G3176" s="19"/>
      <c r="N3176" s="19"/>
      <c r="P3176" s="19"/>
      <c r="AL3176" s="19"/>
    </row>
    <row r="3177" spans="1:38" s="11" customFormat="1" x14ac:dyDescent="0.25">
      <c r="A3177" s="3"/>
      <c r="F3177" s="19"/>
      <c r="G3177" s="19"/>
      <c r="N3177" s="19"/>
      <c r="P3177" s="19"/>
      <c r="AL3177" s="19"/>
    </row>
    <row r="3178" spans="1:38" s="11" customFormat="1" x14ac:dyDescent="0.25">
      <c r="A3178" s="3"/>
      <c r="F3178" s="19"/>
      <c r="G3178" s="19"/>
      <c r="N3178" s="19"/>
      <c r="P3178" s="19"/>
      <c r="AL3178" s="19"/>
    </row>
    <row r="3179" spans="1:38" s="11" customFormat="1" x14ac:dyDescent="0.25">
      <c r="A3179" s="3"/>
      <c r="F3179" s="19"/>
      <c r="G3179" s="19"/>
      <c r="N3179" s="19"/>
      <c r="P3179" s="19"/>
      <c r="AL3179" s="19"/>
    </row>
    <row r="3180" spans="1:38" s="11" customFormat="1" x14ac:dyDescent="0.25">
      <c r="A3180" s="3"/>
      <c r="F3180" s="19"/>
      <c r="G3180" s="19"/>
      <c r="N3180" s="19"/>
      <c r="P3180" s="19"/>
      <c r="AL3180" s="19"/>
    </row>
    <row r="3181" spans="1:38" s="11" customFormat="1" x14ac:dyDescent="0.25">
      <c r="A3181" s="3"/>
      <c r="F3181" s="19"/>
      <c r="G3181" s="19"/>
      <c r="N3181" s="19"/>
      <c r="P3181" s="19"/>
      <c r="AL3181" s="19"/>
    </row>
    <row r="3182" spans="1:38" s="11" customFormat="1" x14ac:dyDescent="0.25">
      <c r="A3182" s="3"/>
      <c r="F3182" s="19"/>
      <c r="G3182" s="19"/>
      <c r="N3182" s="19"/>
      <c r="P3182" s="19"/>
      <c r="AL3182" s="19"/>
    </row>
    <row r="3183" spans="1:38" s="11" customFormat="1" x14ac:dyDescent="0.25">
      <c r="A3183" s="3"/>
      <c r="F3183" s="19"/>
      <c r="G3183" s="19"/>
      <c r="N3183" s="19"/>
      <c r="P3183" s="19"/>
      <c r="AL3183" s="19"/>
    </row>
    <row r="3184" spans="1:38" s="11" customFormat="1" x14ac:dyDescent="0.25">
      <c r="A3184" s="3"/>
      <c r="F3184" s="19"/>
      <c r="G3184" s="19"/>
      <c r="N3184" s="19"/>
      <c r="P3184" s="19"/>
      <c r="AL3184" s="19"/>
    </row>
    <row r="3185" spans="1:38" s="11" customFormat="1" x14ac:dyDescent="0.25">
      <c r="A3185" s="3"/>
      <c r="F3185" s="19"/>
      <c r="G3185" s="19"/>
      <c r="N3185" s="19"/>
      <c r="P3185" s="19"/>
      <c r="AL3185" s="19"/>
    </row>
    <row r="3186" spans="1:38" s="11" customFormat="1" x14ac:dyDescent="0.25">
      <c r="A3186" s="3"/>
      <c r="F3186" s="19"/>
      <c r="G3186" s="19"/>
      <c r="N3186" s="19"/>
      <c r="P3186" s="19"/>
      <c r="AL3186" s="19"/>
    </row>
    <row r="3187" spans="1:38" s="11" customFormat="1" x14ac:dyDescent="0.25">
      <c r="A3187" s="3"/>
      <c r="F3187" s="19"/>
      <c r="G3187" s="19"/>
      <c r="N3187" s="19"/>
      <c r="P3187" s="19"/>
      <c r="AL3187" s="19"/>
    </row>
    <row r="3188" spans="1:38" s="11" customFormat="1" x14ac:dyDescent="0.25">
      <c r="A3188" s="3"/>
      <c r="F3188" s="19"/>
      <c r="G3188" s="19"/>
      <c r="N3188" s="19"/>
      <c r="P3188" s="19"/>
      <c r="AL3188" s="19"/>
    </row>
    <row r="3189" spans="1:38" s="11" customFormat="1" x14ac:dyDescent="0.25">
      <c r="A3189" s="3"/>
      <c r="F3189" s="19"/>
      <c r="G3189" s="19"/>
      <c r="N3189" s="19"/>
      <c r="P3189" s="19"/>
      <c r="AL3189" s="19"/>
    </row>
    <row r="3190" spans="1:38" s="11" customFormat="1" x14ac:dyDescent="0.25">
      <c r="A3190" s="3"/>
      <c r="F3190" s="19"/>
      <c r="G3190" s="19"/>
      <c r="N3190" s="19"/>
      <c r="P3190" s="19"/>
      <c r="AL3190" s="19"/>
    </row>
    <row r="3191" spans="1:38" s="11" customFormat="1" x14ac:dyDescent="0.25">
      <c r="A3191" s="3"/>
      <c r="F3191" s="19"/>
      <c r="G3191" s="19"/>
      <c r="N3191" s="19"/>
      <c r="P3191" s="19"/>
      <c r="AL3191" s="19"/>
    </row>
    <row r="3192" spans="1:38" s="11" customFormat="1" x14ac:dyDescent="0.25">
      <c r="A3192" s="3"/>
      <c r="F3192" s="19"/>
      <c r="G3192" s="19"/>
      <c r="N3192" s="19"/>
      <c r="P3192" s="19"/>
      <c r="AL3192" s="19"/>
    </row>
    <row r="3193" spans="1:38" s="11" customFormat="1" x14ac:dyDescent="0.25">
      <c r="A3193" s="3"/>
      <c r="F3193" s="19"/>
      <c r="G3193" s="19"/>
      <c r="N3193" s="19"/>
      <c r="P3193" s="19"/>
      <c r="AL3193" s="19"/>
    </row>
    <row r="3194" spans="1:38" s="11" customFormat="1" x14ac:dyDescent="0.25">
      <c r="A3194" s="3"/>
      <c r="F3194" s="19"/>
      <c r="G3194" s="19"/>
      <c r="N3194" s="19"/>
      <c r="P3194" s="19"/>
      <c r="AL3194" s="19"/>
    </row>
    <row r="3195" spans="1:38" s="11" customFormat="1" x14ac:dyDescent="0.25">
      <c r="A3195" s="3"/>
      <c r="F3195" s="19"/>
      <c r="G3195" s="19"/>
      <c r="N3195" s="19"/>
      <c r="P3195" s="19"/>
      <c r="AL3195" s="19"/>
    </row>
    <row r="3196" spans="1:38" s="11" customFormat="1" x14ac:dyDescent="0.25">
      <c r="A3196" s="3"/>
      <c r="F3196" s="19"/>
      <c r="G3196" s="19"/>
      <c r="N3196" s="19"/>
      <c r="P3196" s="19"/>
      <c r="AL3196" s="19"/>
    </row>
    <row r="3197" spans="1:38" s="11" customFormat="1" x14ac:dyDescent="0.25">
      <c r="A3197" s="3"/>
      <c r="F3197" s="19"/>
      <c r="G3197" s="19"/>
      <c r="N3197" s="19"/>
      <c r="P3197" s="19"/>
      <c r="AL3197" s="19"/>
    </row>
    <row r="3198" spans="1:38" s="11" customFormat="1" x14ac:dyDescent="0.25">
      <c r="A3198" s="3"/>
      <c r="F3198" s="19"/>
      <c r="G3198" s="19"/>
      <c r="N3198" s="19"/>
      <c r="P3198" s="19"/>
      <c r="AL3198" s="19"/>
    </row>
    <row r="3199" spans="1:38" s="11" customFormat="1" x14ac:dyDescent="0.25">
      <c r="A3199" s="3"/>
      <c r="F3199" s="19"/>
      <c r="G3199" s="19"/>
      <c r="N3199" s="19"/>
      <c r="P3199" s="19"/>
      <c r="AL3199" s="19"/>
    </row>
    <row r="3200" spans="1:38" s="11" customFormat="1" x14ac:dyDescent="0.25">
      <c r="A3200" s="3"/>
      <c r="F3200" s="19"/>
      <c r="G3200" s="19"/>
      <c r="N3200" s="19"/>
      <c r="P3200" s="19"/>
      <c r="AL3200" s="19"/>
    </row>
    <row r="3201" spans="1:38" s="11" customFormat="1" x14ac:dyDescent="0.25">
      <c r="A3201" s="3"/>
      <c r="F3201" s="19"/>
      <c r="G3201" s="19"/>
      <c r="N3201" s="19"/>
      <c r="P3201" s="19"/>
      <c r="AL3201" s="19"/>
    </row>
    <row r="3202" spans="1:38" s="11" customFormat="1" x14ac:dyDescent="0.25">
      <c r="A3202" s="3"/>
      <c r="F3202" s="19"/>
      <c r="G3202" s="19"/>
      <c r="N3202" s="19"/>
      <c r="P3202" s="19"/>
      <c r="AL3202" s="19"/>
    </row>
    <row r="3203" spans="1:38" s="11" customFormat="1" x14ac:dyDescent="0.25">
      <c r="A3203" s="3"/>
      <c r="F3203" s="19"/>
      <c r="G3203" s="19"/>
      <c r="N3203" s="19"/>
      <c r="P3203" s="19"/>
      <c r="AL3203" s="19"/>
    </row>
    <row r="3204" spans="1:38" s="11" customFormat="1" x14ac:dyDescent="0.25">
      <c r="A3204" s="3"/>
      <c r="F3204" s="19"/>
      <c r="G3204" s="19"/>
      <c r="N3204" s="19"/>
      <c r="P3204" s="19"/>
      <c r="AL3204" s="19"/>
    </row>
    <row r="3205" spans="1:38" s="11" customFormat="1" x14ac:dyDescent="0.25">
      <c r="A3205" s="3"/>
      <c r="F3205" s="19"/>
      <c r="G3205" s="19"/>
      <c r="N3205" s="19"/>
      <c r="P3205" s="19"/>
      <c r="AL3205" s="19"/>
    </row>
    <row r="3206" spans="1:38" s="11" customFormat="1" x14ac:dyDescent="0.25">
      <c r="A3206" s="3"/>
      <c r="F3206" s="19"/>
      <c r="G3206" s="19"/>
      <c r="N3206" s="19"/>
      <c r="P3206" s="19"/>
      <c r="AL3206" s="19"/>
    </row>
    <row r="3207" spans="1:38" s="11" customFormat="1" x14ac:dyDescent="0.25">
      <c r="A3207" s="3"/>
      <c r="F3207" s="19"/>
      <c r="G3207" s="19"/>
      <c r="N3207" s="19"/>
      <c r="P3207" s="19"/>
      <c r="AL3207" s="19"/>
    </row>
    <row r="3208" spans="1:38" s="11" customFormat="1" x14ac:dyDescent="0.25">
      <c r="A3208" s="3"/>
      <c r="F3208" s="19"/>
      <c r="G3208" s="19"/>
      <c r="N3208" s="19"/>
      <c r="P3208" s="19"/>
      <c r="AL3208" s="19"/>
    </row>
    <row r="3209" spans="1:38" s="11" customFormat="1" x14ac:dyDescent="0.25">
      <c r="A3209" s="3"/>
      <c r="F3209" s="19"/>
      <c r="G3209" s="19"/>
      <c r="N3209" s="19"/>
      <c r="P3209" s="19"/>
      <c r="AL3209" s="19"/>
    </row>
    <row r="3210" spans="1:38" s="11" customFormat="1" x14ac:dyDescent="0.25">
      <c r="A3210" s="3"/>
      <c r="F3210" s="19"/>
      <c r="G3210" s="19"/>
      <c r="N3210" s="19"/>
      <c r="P3210" s="19"/>
      <c r="AL3210" s="19"/>
    </row>
    <row r="3211" spans="1:38" s="11" customFormat="1" x14ac:dyDescent="0.25">
      <c r="A3211" s="3"/>
      <c r="F3211" s="19"/>
      <c r="G3211" s="19"/>
      <c r="N3211" s="19"/>
      <c r="P3211" s="19"/>
      <c r="AL3211" s="19"/>
    </row>
    <row r="3212" spans="1:38" s="11" customFormat="1" x14ac:dyDescent="0.25">
      <c r="A3212" s="3"/>
      <c r="F3212" s="19"/>
      <c r="G3212" s="19"/>
      <c r="N3212" s="19"/>
      <c r="P3212" s="19"/>
      <c r="AL3212" s="19"/>
    </row>
    <row r="3213" spans="1:38" s="11" customFormat="1" x14ac:dyDescent="0.25">
      <c r="A3213" s="3"/>
      <c r="F3213" s="19"/>
      <c r="G3213" s="19"/>
      <c r="N3213" s="19"/>
      <c r="P3213" s="19"/>
      <c r="AL3213" s="19"/>
    </row>
    <row r="3214" spans="1:38" s="11" customFormat="1" x14ac:dyDescent="0.25">
      <c r="A3214" s="3"/>
      <c r="F3214" s="19"/>
      <c r="G3214" s="19"/>
      <c r="N3214" s="19"/>
      <c r="P3214" s="19"/>
      <c r="AL3214" s="19"/>
    </row>
    <row r="3215" spans="1:38" s="11" customFormat="1" x14ac:dyDescent="0.25">
      <c r="A3215" s="3"/>
      <c r="F3215" s="19"/>
      <c r="G3215" s="19"/>
      <c r="N3215" s="19"/>
      <c r="P3215" s="19"/>
      <c r="AL3215" s="19"/>
    </row>
    <row r="3216" spans="1:38" s="11" customFormat="1" x14ac:dyDescent="0.25">
      <c r="A3216" s="3"/>
      <c r="F3216" s="19"/>
      <c r="G3216" s="19"/>
      <c r="N3216" s="19"/>
      <c r="P3216" s="19"/>
      <c r="AL3216" s="19"/>
    </row>
    <row r="3217" spans="1:38" s="11" customFormat="1" x14ac:dyDescent="0.25">
      <c r="A3217" s="3"/>
      <c r="F3217" s="19"/>
      <c r="G3217" s="19"/>
      <c r="N3217" s="19"/>
      <c r="P3217" s="19"/>
      <c r="AL3217" s="19"/>
    </row>
    <row r="3218" spans="1:38" s="11" customFormat="1" x14ac:dyDescent="0.25">
      <c r="A3218" s="3"/>
      <c r="F3218" s="19"/>
      <c r="G3218" s="19"/>
      <c r="N3218" s="19"/>
      <c r="P3218" s="19"/>
      <c r="AL3218" s="19"/>
    </row>
    <row r="3219" spans="1:38" s="11" customFormat="1" x14ac:dyDescent="0.25">
      <c r="A3219" s="3"/>
      <c r="F3219" s="19"/>
      <c r="G3219" s="19"/>
      <c r="N3219" s="19"/>
      <c r="P3219" s="19"/>
      <c r="AL3219" s="19"/>
    </row>
    <row r="3220" spans="1:38" s="11" customFormat="1" x14ac:dyDescent="0.25">
      <c r="A3220" s="3"/>
      <c r="F3220" s="19"/>
      <c r="G3220" s="19"/>
      <c r="N3220" s="19"/>
      <c r="P3220" s="19"/>
      <c r="AL3220" s="19"/>
    </row>
    <row r="3221" spans="1:38" s="11" customFormat="1" x14ac:dyDescent="0.25">
      <c r="A3221" s="3"/>
      <c r="F3221" s="19"/>
      <c r="G3221" s="19"/>
      <c r="N3221" s="19"/>
      <c r="P3221" s="19"/>
      <c r="AL3221" s="19"/>
    </row>
    <row r="3222" spans="1:38" s="11" customFormat="1" x14ac:dyDescent="0.25">
      <c r="A3222" s="3"/>
      <c r="F3222" s="19"/>
      <c r="G3222" s="19"/>
      <c r="N3222" s="19"/>
      <c r="P3222" s="19"/>
      <c r="AL3222" s="19"/>
    </row>
    <row r="3223" spans="1:38" s="11" customFormat="1" x14ac:dyDescent="0.25">
      <c r="A3223" s="3"/>
      <c r="F3223" s="19"/>
      <c r="G3223" s="19"/>
      <c r="N3223" s="19"/>
      <c r="P3223" s="19"/>
      <c r="AL3223" s="19"/>
    </row>
    <row r="3224" spans="1:38" s="11" customFormat="1" x14ac:dyDescent="0.25">
      <c r="A3224" s="3"/>
      <c r="F3224" s="19"/>
      <c r="G3224" s="19"/>
      <c r="N3224" s="19"/>
      <c r="P3224" s="19"/>
      <c r="AL3224" s="19"/>
    </row>
    <row r="3225" spans="1:38" s="11" customFormat="1" x14ac:dyDescent="0.25">
      <c r="A3225" s="3"/>
      <c r="F3225" s="19"/>
      <c r="G3225" s="19"/>
      <c r="N3225" s="19"/>
      <c r="P3225" s="19"/>
      <c r="AL3225" s="19"/>
    </row>
    <row r="3226" spans="1:38" s="11" customFormat="1" x14ac:dyDescent="0.25">
      <c r="A3226" s="3"/>
      <c r="F3226" s="19"/>
      <c r="G3226" s="19"/>
      <c r="N3226" s="19"/>
      <c r="P3226" s="19"/>
      <c r="AL3226" s="19"/>
    </row>
    <row r="3227" spans="1:38" s="11" customFormat="1" x14ac:dyDescent="0.25">
      <c r="A3227" s="3"/>
      <c r="F3227" s="19"/>
      <c r="G3227" s="19"/>
      <c r="N3227" s="19"/>
      <c r="P3227" s="19"/>
      <c r="AL3227" s="19"/>
    </row>
    <row r="3228" spans="1:38" s="11" customFormat="1" x14ac:dyDescent="0.25">
      <c r="A3228" s="3"/>
      <c r="F3228" s="19"/>
      <c r="G3228" s="19"/>
      <c r="N3228" s="19"/>
      <c r="P3228" s="19"/>
      <c r="AL3228" s="19"/>
    </row>
    <row r="3229" spans="1:38" s="11" customFormat="1" x14ac:dyDescent="0.25">
      <c r="A3229" s="3"/>
      <c r="F3229" s="19"/>
      <c r="G3229" s="19"/>
      <c r="N3229" s="19"/>
      <c r="P3229" s="19"/>
      <c r="AL3229" s="19"/>
    </row>
    <row r="3230" spans="1:38" s="11" customFormat="1" x14ac:dyDescent="0.25">
      <c r="A3230" s="3"/>
      <c r="F3230" s="19"/>
      <c r="G3230" s="19"/>
      <c r="N3230" s="19"/>
      <c r="P3230" s="19"/>
      <c r="AL3230" s="19"/>
    </row>
    <row r="3231" spans="1:38" s="11" customFormat="1" x14ac:dyDescent="0.25">
      <c r="A3231" s="3"/>
      <c r="F3231" s="19"/>
      <c r="G3231" s="19"/>
      <c r="N3231" s="19"/>
      <c r="P3231" s="19"/>
      <c r="AL3231" s="19"/>
    </row>
    <row r="3232" spans="1:38" s="11" customFormat="1" x14ac:dyDescent="0.25">
      <c r="A3232" s="3"/>
      <c r="F3232" s="19"/>
      <c r="G3232" s="19"/>
      <c r="N3232" s="19"/>
      <c r="P3232" s="19"/>
      <c r="AL3232" s="19"/>
    </row>
    <row r="3233" spans="1:38" s="11" customFormat="1" x14ac:dyDescent="0.25">
      <c r="A3233" s="3"/>
      <c r="F3233" s="19"/>
      <c r="G3233" s="19"/>
      <c r="N3233" s="19"/>
      <c r="P3233" s="19"/>
      <c r="AL3233" s="19"/>
    </row>
    <row r="3234" spans="1:38" s="11" customFormat="1" x14ac:dyDescent="0.25">
      <c r="A3234" s="3"/>
      <c r="F3234" s="19"/>
      <c r="G3234" s="19"/>
      <c r="N3234" s="19"/>
      <c r="P3234" s="19"/>
      <c r="AL3234" s="19"/>
    </row>
    <row r="3235" spans="1:38" s="11" customFormat="1" x14ac:dyDescent="0.25">
      <c r="A3235" s="3"/>
      <c r="F3235" s="19"/>
      <c r="G3235" s="19"/>
      <c r="N3235" s="19"/>
      <c r="P3235" s="19"/>
      <c r="AL3235" s="19"/>
    </row>
    <row r="3236" spans="1:38" s="11" customFormat="1" x14ac:dyDescent="0.25">
      <c r="A3236" s="3"/>
      <c r="F3236" s="19"/>
      <c r="G3236" s="19"/>
      <c r="N3236" s="19"/>
      <c r="P3236" s="19"/>
      <c r="AL3236" s="19"/>
    </row>
    <row r="3237" spans="1:38" s="11" customFormat="1" x14ac:dyDescent="0.25">
      <c r="A3237" s="3"/>
      <c r="F3237" s="19"/>
      <c r="G3237" s="19"/>
      <c r="N3237" s="19"/>
      <c r="P3237" s="19"/>
      <c r="AL3237" s="19"/>
    </row>
    <row r="3238" spans="1:38" s="11" customFormat="1" x14ac:dyDescent="0.25">
      <c r="A3238" s="3"/>
      <c r="F3238" s="19"/>
      <c r="G3238" s="19"/>
      <c r="N3238" s="19"/>
      <c r="P3238" s="19"/>
      <c r="AL3238" s="19"/>
    </row>
    <row r="3239" spans="1:38" s="11" customFormat="1" x14ac:dyDescent="0.25">
      <c r="A3239" s="3"/>
      <c r="F3239" s="19"/>
      <c r="G3239" s="19"/>
      <c r="N3239" s="19"/>
      <c r="P3239" s="19"/>
      <c r="AL3239" s="19"/>
    </row>
    <row r="3240" spans="1:38" s="11" customFormat="1" x14ac:dyDescent="0.25">
      <c r="A3240" s="3"/>
      <c r="F3240" s="19"/>
      <c r="G3240" s="19"/>
      <c r="N3240" s="19"/>
      <c r="P3240" s="19"/>
      <c r="AL3240" s="19"/>
    </row>
    <row r="3241" spans="1:38" s="11" customFormat="1" x14ac:dyDescent="0.25">
      <c r="A3241" s="3"/>
      <c r="F3241" s="19"/>
      <c r="G3241" s="19"/>
      <c r="N3241" s="19"/>
      <c r="P3241" s="19"/>
      <c r="AL3241" s="19"/>
    </row>
    <row r="3242" spans="1:38" s="11" customFormat="1" x14ac:dyDescent="0.25">
      <c r="A3242" s="3"/>
      <c r="F3242" s="19"/>
      <c r="G3242" s="19"/>
      <c r="N3242" s="19"/>
      <c r="P3242" s="19"/>
      <c r="AL3242" s="19"/>
    </row>
    <row r="3243" spans="1:38" s="11" customFormat="1" x14ac:dyDescent="0.25">
      <c r="A3243" s="3"/>
      <c r="F3243" s="19"/>
      <c r="G3243" s="19"/>
      <c r="N3243" s="19"/>
      <c r="P3243" s="19"/>
      <c r="AL3243" s="19"/>
    </row>
    <row r="3244" spans="1:38" s="11" customFormat="1" x14ac:dyDescent="0.25">
      <c r="A3244" s="3"/>
      <c r="F3244" s="19"/>
      <c r="G3244" s="19"/>
      <c r="N3244" s="19"/>
      <c r="P3244" s="19"/>
      <c r="AL3244" s="19"/>
    </row>
    <row r="3245" spans="1:38" s="11" customFormat="1" x14ac:dyDescent="0.25">
      <c r="A3245" s="3"/>
      <c r="F3245" s="19"/>
      <c r="G3245" s="19"/>
      <c r="N3245" s="19"/>
      <c r="P3245" s="19"/>
      <c r="AL3245" s="19"/>
    </row>
    <row r="3246" spans="1:38" s="11" customFormat="1" x14ac:dyDescent="0.25">
      <c r="A3246" s="3"/>
      <c r="F3246" s="19"/>
      <c r="G3246" s="19"/>
      <c r="N3246" s="19"/>
      <c r="P3246" s="19"/>
      <c r="AL3246" s="19"/>
    </row>
    <row r="3247" spans="1:38" s="11" customFormat="1" x14ac:dyDescent="0.25">
      <c r="A3247" s="3"/>
      <c r="F3247" s="19"/>
      <c r="G3247" s="19"/>
      <c r="N3247" s="19"/>
      <c r="P3247" s="19"/>
      <c r="AL3247" s="19"/>
    </row>
    <row r="3248" spans="1:38" s="11" customFormat="1" x14ac:dyDescent="0.25">
      <c r="A3248" s="3"/>
      <c r="F3248" s="19"/>
      <c r="G3248" s="19"/>
      <c r="N3248" s="19"/>
      <c r="P3248" s="19"/>
      <c r="AL3248" s="19"/>
    </row>
    <row r="3249" spans="1:38" s="11" customFormat="1" x14ac:dyDescent="0.25">
      <c r="A3249" s="3"/>
      <c r="F3249" s="19"/>
      <c r="G3249" s="19"/>
      <c r="N3249" s="19"/>
      <c r="P3249" s="19"/>
      <c r="AL3249" s="19"/>
    </row>
    <row r="3250" spans="1:38" s="11" customFormat="1" x14ac:dyDescent="0.25">
      <c r="A3250" s="3"/>
      <c r="F3250" s="19"/>
      <c r="G3250" s="19"/>
      <c r="N3250" s="19"/>
      <c r="P3250" s="19"/>
      <c r="AL3250" s="19"/>
    </row>
    <row r="3251" spans="1:38" s="11" customFormat="1" x14ac:dyDescent="0.25">
      <c r="A3251" s="3"/>
      <c r="F3251" s="19"/>
      <c r="G3251" s="19"/>
      <c r="N3251" s="19"/>
      <c r="P3251" s="19"/>
      <c r="AL3251" s="19"/>
    </row>
    <row r="3252" spans="1:38" s="11" customFormat="1" x14ac:dyDescent="0.25">
      <c r="A3252" s="3"/>
      <c r="F3252" s="19"/>
      <c r="G3252" s="19"/>
      <c r="N3252" s="19"/>
      <c r="P3252" s="19"/>
      <c r="AL3252" s="19"/>
    </row>
    <row r="3253" spans="1:38" s="11" customFormat="1" x14ac:dyDescent="0.25">
      <c r="A3253" s="3"/>
      <c r="F3253" s="19"/>
      <c r="G3253" s="19"/>
      <c r="N3253" s="19"/>
      <c r="P3253" s="19"/>
      <c r="AL3253" s="19"/>
    </row>
    <row r="3254" spans="1:38" s="11" customFormat="1" x14ac:dyDescent="0.25">
      <c r="A3254" s="3"/>
      <c r="F3254" s="19"/>
      <c r="G3254" s="19"/>
      <c r="N3254" s="19"/>
      <c r="P3254" s="19"/>
      <c r="AL3254" s="19"/>
    </row>
    <row r="3255" spans="1:38" s="11" customFormat="1" x14ac:dyDescent="0.25">
      <c r="A3255" s="3"/>
      <c r="F3255" s="19"/>
      <c r="G3255" s="19"/>
      <c r="N3255" s="19"/>
      <c r="P3255" s="19"/>
      <c r="AL3255" s="19"/>
    </row>
    <row r="3256" spans="1:38" s="11" customFormat="1" x14ac:dyDescent="0.25">
      <c r="A3256" s="3"/>
      <c r="F3256" s="19"/>
      <c r="G3256" s="19"/>
      <c r="N3256" s="19"/>
      <c r="P3256" s="19"/>
      <c r="AL3256" s="19"/>
    </row>
    <row r="3257" spans="1:38" s="11" customFormat="1" x14ac:dyDescent="0.25">
      <c r="A3257" s="3"/>
      <c r="F3257" s="19"/>
      <c r="G3257" s="19"/>
      <c r="N3257" s="19"/>
      <c r="P3257" s="19"/>
      <c r="AL3257" s="19"/>
    </row>
    <row r="3258" spans="1:38" s="11" customFormat="1" x14ac:dyDescent="0.25">
      <c r="A3258" s="3"/>
      <c r="F3258" s="19"/>
      <c r="G3258" s="19"/>
      <c r="N3258" s="19"/>
      <c r="P3258" s="19"/>
      <c r="AL3258" s="19"/>
    </row>
    <row r="3259" spans="1:38" s="11" customFormat="1" x14ac:dyDescent="0.25">
      <c r="A3259" s="3"/>
      <c r="F3259" s="19"/>
      <c r="G3259" s="19"/>
      <c r="N3259" s="19"/>
      <c r="P3259" s="19"/>
      <c r="AL3259" s="19"/>
    </row>
    <row r="3260" spans="1:38" s="11" customFormat="1" x14ac:dyDescent="0.25">
      <c r="A3260" s="3"/>
      <c r="F3260" s="19"/>
      <c r="G3260" s="19"/>
      <c r="N3260" s="19"/>
      <c r="P3260" s="19"/>
      <c r="AL3260" s="19"/>
    </row>
    <row r="3261" spans="1:38" s="11" customFormat="1" x14ac:dyDescent="0.25">
      <c r="A3261" s="3"/>
      <c r="F3261" s="19"/>
      <c r="G3261" s="19"/>
      <c r="N3261" s="19"/>
      <c r="P3261" s="19"/>
      <c r="AL3261" s="19"/>
    </row>
    <row r="3262" spans="1:38" s="11" customFormat="1" x14ac:dyDescent="0.25">
      <c r="A3262" s="3"/>
      <c r="F3262" s="19"/>
      <c r="G3262" s="19"/>
      <c r="N3262" s="19"/>
      <c r="P3262" s="19"/>
      <c r="AL3262" s="19"/>
    </row>
    <row r="3263" spans="1:38" s="11" customFormat="1" x14ac:dyDescent="0.25">
      <c r="A3263" s="3"/>
      <c r="F3263" s="19"/>
      <c r="G3263" s="19"/>
      <c r="N3263" s="19"/>
      <c r="P3263" s="19"/>
      <c r="AL3263" s="19"/>
    </row>
    <row r="3264" spans="1:38" s="11" customFormat="1" x14ac:dyDescent="0.25">
      <c r="A3264" s="3"/>
      <c r="F3264" s="19"/>
      <c r="G3264" s="19"/>
      <c r="N3264" s="19"/>
      <c r="P3264" s="19"/>
      <c r="AL3264" s="19"/>
    </row>
    <row r="3265" spans="1:38" s="11" customFormat="1" x14ac:dyDescent="0.25">
      <c r="A3265" s="3"/>
      <c r="F3265" s="19"/>
      <c r="G3265" s="19"/>
      <c r="N3265" s="19"/>
      <c r="P3265" s="19"/>
      <c r="AL3265" s="19"/>
    </row>
    <row r="3266" spans="1:38" s="11" customFormat="1" x14ac:dyDescent="0.25">
      <c r="A3266" s="3"/>
      <c r="F3266" s="19"/>
      <c r="G3266" s="19"/>
      <c r="N3266" s="19"/>
      <c r="P3266" s="19"/>
      <c r="AL3266" s="19"/>
    </row>
    <row r="3267" spans="1:38" s="11" customFormat="1" x14ac:dyDescent="0.25">
      <c r="A3267" s="3"/>
      <c r="F3267" s="19"/>
      <c r="G3267" s="19"/>
      <c r="N3267" s="19"/>
      <c r="P3267" s="19"/>
      <c r="AL3267" s="19"/>
    </row>
    <row r="3268" spans="1:38" s="11" customFormat="1" x14ac:dyDescent="0.25">
      <c r="A3268" s="3"/>
      <c r="F3268" s="19"/>
      <c r="G3268" s="19"/>
      <c r="N3268" s="19"/>
      <c r="P3268" s="19"/>
      <c r="AL3268" s="19"/>
    </row>
    <row r="3269" spans="1:38" s="11" customFormat="1" x14ac:dyDescent="0.25">
      <c r="A3269" s="3"/>
      <c r="F3269" s="19"/>
      <c r="G3269" s="19"/>
      <c r="N3269" s="19"/>
      <c r="P3269" s="19"/>
      <c r="AL3269" s="19"/>
    </row>
    <row r="3270" spans="1:38" s="11" customFormat="1" x14ac:dyDescent="0.25">
      <c r="A3270" s="3"/>
      <c r="F3270" s="19"/>
      <c r="G3270" s="19"/>
      <c r="N3270" s="19"/>
      <c r="P3270" s="19"/>
      <c r="AL3270" s="19"/>
    </row>
    <row r="3271" spans="1:38" s="11" customFormat="1" x14ac:dyDescent="0.25">
      <c r="A3271" s="3"/>
      <c r="F3271" s="19"/>
      <c r="G3271" s="19"/>
      <c r="N3271" s="19"/>
      <c r="P3271" s="19"/>
      <c r="AL3271" s="19"/>
    </row>
    <row r="3272" spans="1:38" s="11" customFormat="1" x14ac:dyDescent="0.25">
      <c r="A3272" s="3"/>
      <c r="F3272" s="19"/>
      <c r="G3272" s="19"/>
      <c r="N3272" s="19"/>
      <c r="P3272" s="19"/>
      <c r="AL3272" s="19"/>
    </row>
    <row r="3273" spans="1:38" s="11" customFormat="1" x14ac:dyDescent="0.25">
      <c r="A3273" s="3"/>
      <c r="F3273" s="19"/>
      <c r="G3273" s="19"/>
      <c r="N3273" s="19"/>
      <c r="P3273" s="19"/>
      <c r="AL3273" s="19"/>
    </row>
    <row r="3274" spans="1:38" s="11" customFormat="1" x14ac:dyDescent="0.25">
      <c r="A3274" s="3"/>
      <c r="F3274" s="19"/>
      <c r="G3274" s="19"/>
      <c r="N3274" s="19"/>
      <c r="P3274" s="19"/>
      <c r="AL3274" s="19"/>
    </row>
    <row r="3275" spans="1:38" s="11" customFormat="1" x14ac:dyDescent="0.25">
      <c r="A3275" s="3"/>
      <c r="F3275" s="19"/>
      <c r="G3275" s="19"/>
      <c r="N3275" s="19"/>
      <c r="P3275" s="19"/>
      <c r="AL3275" s="19"/>
    </row>
    <row r="3276" spans="1:38" s="11" customFormat="1" x14ac:dyDescent="0.25">
      <c r="A3276" s="3"/>
      <c r="F3276" s="19"/>
      <c r="G3276" s="19"/>
      <c r="N3276" s="19"/>
      <c r="P3276" s="19"/>
      <c r="AL3276" s="19"/>
    </row>
    <row r="3277" spans="1:38" s="11" customFormat="1" x14ac:dyDescent="0.25">
      <c r="A3277" s="3"/>
      <c r="F3277" s="19"/>
      <c r="G3277" s="19"/>
      <c r="N3277" s="19"/>
      <c r="P3277" s="19"/>
      <c r="AL3277" s="19"/>
    </row>
    <row r="3278" spans="1:38" s="11" customFormat="1" x14ac:dyDescent="0.25">
      <c r="A3278" s="3"/>
      <c r="F3278" s="19"/>
      <c r="G3278" s="19"/>
      <c r="N3278" s="19"/>
      <c r="P3278" s="19"/>
      <c r="AL3278" s="19"/>
    </row>
    <row r="3279" spans="1:38" s="11" customFormat="1" x14ac:dyDescent="0.25">
      <c r="A3279" s="3"/>
      <c r="F3279" s="19"/>
      <c r="G3279" s="19"/>
      <c r="N3279" s="19"/>
      <c r="P3279" s="19"/>
      <c r="AL3279" s="19"/>
    </row>
    <row r="3280" spans="1:38" s="11" customFormat="1" x14ac:dyDescent="0.25">
      <c r="A3280" s="3"/>
      <c r="F3280" s="19"/>
      <c r="G3280" s="19"/>
      <c r="N3280" s="19"/>
      <c r="P3280" s="19"/>
      <c r="AL3280" s="19"/>
    </row>
    <row r="3281" spans="1:38" s="11" customFormat="1" x14ac:dyDescent="0.25">
      <c r="A3281" s="3"/>
      <c r="F3281" s="19"/>
      <c r="G3281" s="19"/>
      <c r="N3281" s="19"/>
      <c r="P3281" s="19"/>
      <c r="AL3281" s="19"/>
    </row>
    <row r="3282" spans="1:38" s="11" customFormat="1" x14ac:dyDescent="0.25">
      <c r="A3282" s="3"/>
      <c r="F3282" s="19"/>
      <c r="G3282" s="19"/>
      <c r="N3282" s="19"/>
      <c r="P3282" s="19"/>
      <c r="AL3282" s="19"/>
    </row>
    <row r="3283" spans="1:38" s="11" customFormat="1" x14ac:dyDescent="0.25">
      <c r="A3283" s="3"/>
      <c r="F3283" s="19"/>
      <c r="G3283" s="19"/>
      <c r="N3283" s="19"/>
      <c r="P3283" s="19"/>
      <c r="AL3283" s="19"/>
    </row>
    <row r="3284" spans="1:38" s="11" customFormat="1" x14ac:dyDescent="0.25">
      <c r="A3284" s="3"/>
      <c r="F3284" s="19"/>
      <c r="G3284" s="19"/>
      <c r="N3284" s="19"/>
      <c r="P3284" s="19"/>
      <c r="AL3284" s="19"/>
    </row>
    <row r="3285" spans="1:38" s="11" customFormat="1" x14ac:dyDescent="0.25">
      <c r="A3285" s="3"/>
      <c r="F3285" s="19"/>
      <c r="G3285" s="19"/>
      <c r="N3285" s="19"/>
      <c r="P3285" s="19"/>
      <c r="AL3285" s="19"/>
    </row>
    <row r="3286" spans="1:38" s="11" customFormat="1" x14ac:dyDescent="0.25">
      <c r="A3286" s="3"/>
      <c r="F3286" s="19"/>
      <c r="G3286" s="19"/>
      <c r="N3286" s="19"/>
      <c r="P3286" s="19"/>
      <c r="AL3286" s="19"/>
    </row>
    <row r="3287" spans="1:38" s="11" customFormat="1" x14ac:dyDescent="0.25">
      <c r="A3287" s="3"/>
      <c r="F3287" s="19"/>
      <c r="G3287" s="19"/>
      <c r="N3287" s="19"/>
      <c r="P3287" s="19"/>
      <c r="AL3287" s="19"/>
    </row>
    <row r="3288" spans="1:38" s="11" customFormat="1" x14ac:dyDescent="0.25">
      <c r="A3288" s="3"/>
      <c r="F3288" s="19"/>
      <c r="G3288" s="19"/>
      <c r="N3288" s="19"/>
      <c r="P3288" s="19"/>
      <c r="AL3288" s="19"/>
    </row>
    <row r="3289" spans="1:38" s="11" customFormat="1" x14ac:dyDescent="0.25">
      <c r="A3289" s="3"/>
      <c r="F3289" s="19"/>
      <c r="G3289" s="19"/>
      <c r="N3289" s="19"/>
      <c r="P3289" s="19"/>
      <c r="AL3289" s="19"/>
    </row>
    <row r="3290" spans="1:38" s="11" customFormat="1" x14ac:dyDescent="0.25">
      <c r="A3290" s="3"/>
      <c r="F3290" s="19"/>
      <c r="G3290" s="19"/>
      <c r="N3290" s="19"/>
      <c r="P3290" s="19"/>
      <c r="AL3290" s="19"/>
    </row>
    <row r="3291" spans="1:38" s="11" customFormat="1" x14ac:dyDescent="0.25">
      <c r="A3291" s="3"/>
      <c r="F3291" s="19"/>
      <c r="G3291" s="19"/>
      <c r="N3291" s="19"/>
      <c r="P3291" s="19"/>
      <c r="AL3291" s="19"/>
    </row>
    <row r="3292" spans="1:38" s="11" customFormat="1" x14ac:dyDescent="0.25">
      <c r="A3292" s="3"/>
      <c r="F3292" s="19"/>
      <c r="G3292" s="19"/>
      <c r="N3292" s="19"/>
      <c r="P3292" s="19"/>
      <c r="AL3292" s="19"/>
    </row>
    <row r="3293" spans="1:38" s="11" customFormat="1" x14ac:dyDescent="0.25">
      <c r="A3293" s="3"/>
      <c r="F3293" s="19"/>
      <c r="G3293" s="19"/>
      <c r="N3293" s="19"/>
      <c r="P3293" s="19"/>
      <c r="AL3293" s="19"/>
    </row>
    <row r="3294" spans="1:38" s="11" customFormat="1" x14ac:dyDescent="0.25">
      <c r="A3294" s="3"/>
      <c r="F3294" s="19"/>
      <c r="G3294" s="19"/>
      <c r="N3294" s="19"/>
      <c r="P3294" s="19"/>
      <c r="AL3294" s="19"/>
    </row>
    <row r="3295" spans="1:38" s="11" customFormat="1" x14ac:dyDescent="0.25">
      <c r="A3295" s="3"/>
      <c r="F3295" s="19"/>
      <c r="G3295" s="19"/>
      <c r="N3295" s="19"/>
      <c r="P3295" s="19"/>
      <c r="AL3295" s="19"/>
    </row>
    <row r="3296" spans="1:38" s="11" customFormat="1" x14ac:dyDescent="0.25">
      <c r="A3296" s="3"/>
      <c r="F3296" s="19"/>
      <c r="G3296" s="19"/>
      <c r="N3296" s="19"/>
      <c r="P3296" s="19"/>
      <c r="AL3296" s="19"/>
    </row>
    <row r="3297" spans="1:38" s="11" customFormat="1" x14ac:dyDescent="0.25">
      <c r="A3297" s="3"/>
      <c r="F3297" s="19"/>
      <c r="G3297" s="19"/>
      <c r="N3297" s="19"/>
      <c r="P3297" s="19"/>
      <c r="AL3297" s="19"/>
    </row>
    <row r="3298" spans="1:38" s="11" customFormat="1" x14ac:dyDescent="0.25">
      <c r="A3298" s="3"/>
      <c r="F3298" s="19"/>
      <c r="G3298" s="19"/>
      <c r="N3298" s="19"/>
      <c r="P3298" s="19"/>
      <c r="AL3298" s="19"/>
    </row>
    <row r="3299" spans="1:38" s="11" customFormat="1" x14ac:dyDescent="0.25">
      <c r="A3299" s="3"/>
      <c r="F3299" s="19"/>
      <c r="G3299" s="19"/>
      <c r="N3299" s="19"/>
      <c r="P3299" s="19"/>
      <c r="AL3299" s="19"/>
    </row>
    <row r="3300" spans="1:38" s="11" customFormat="1" x14ac:dyDescent="0.25">
      <c r="A3300" s="3"/>
      <c r="F3300" s="19"/>
      <c r="G3300" s="19"/>
      <c r="N3300" s="19"/>
      <c r="P3300" s="19"/>
      <c r="AL3300" s="19"/>
    </row>
    <row r="3301" spans="1:38" s="11" customFormat="1" x14ac:dyDescent="0.25">
      <c r="A3301" s="3"/>
      <c r="F3301" s="19"/>
      <c r="G3301" s="19"/>
      <c r="N3301" s="19"/>
      <c r="P3301" s="19"/>
      <c r="AL3301" s="19"/>
    </row>
    <row r="3302" spans="1:38" s="11" customFormat="1" x14ac:dyDescent="0.25">
      <c r="A3302" s="3"/>
      <c r="F3302" s="19"/>
      <c r="G3302" s="19"/>
      <c r="N3302" s="19"/>
      <c r="P3302" s="19"/>
      <c r="AL3302" s="19"/>
    </row>
    <row r="3303" spans="1:38" s="11" customFormat="1" x14ac:dyDescent="0.25">
      <c r="A3303" s="3"/>
      <c r="F3303" s="19"/>
      <c r="G3303" s="19"/>
      <c r="N3303" s="19"/>
      <c r="P3303" s="19"/>
      <c r="AL3303" s="19"/>
    </row>
    <row r="3304" spans="1:38" s="11" customFormat="1" x14ac:dyDescent="0.25">
      <c r="A3304" s="3"/>
      <c r="F3304" s="19"/>
      <c r="G3304" s="19"/>
      <c r="N3304" s="19"/>
      <c r="P3304" s="19"/>
      <c r="AL3304" s="19"/>
    </row>
    <row r="3305" spans="1:38" s="11" customFormat="1" x14ac:dyDescent="0.25">
      <c r="A3305" s="3"/>
      <c r="F3305" s="19"/>
      <c r="G3305" s="19"/>
      <c r="N3305" s="19"/>
      <c r="P3305" s="19"/>
      <c r="AL3305" s="19"/>
    </row>
    <row r="3306" spans="1:38" s="11" customFormat="1" x14ac:dyDescent="0.25">
      <c r="A3306" s="3"/>
      <c r="F3306" s="19"/>
      <c r="G3306" s="19"/>
      <c r="N3306" s="19"/>
      <c r="P3306" s="19"/>
      <c r="AL3306" s="19"/>
    </row>
    <row r="3307" spans="1:38" s="11" customFormat="1" x14ac:dyDescent="0.25">
      <c r="A3307" s="3"/>
      <c r="F3307" s="19"/>
      <c r="G3307" s="19"/>
      <c r="N3307" s="19"/>
      <c r="P3307" s="19"/>
      <c r="AL3307" s="19"/>
    </row>
    <row r="3308" spans="1:38" s="11" customFormat="1" x14ac:dyDescent="0.25">
      <c r="A3308" s="3"/>
      <c r="F3308" s="19"/>
      <c r="G3308" s="19"/>
      <c r="N3308" s="19"/>
      <c r="P3308" s="19"/>
      <c r="AL3308" s="19"/>
    </row>
    <row r="3309" spans="1:38" s="11" customFormat="1" x14ac:dyDescent="0.25">
      <c r="A3309" s="3"/>
      <c r="F3309" s="19"/>
      <c r="G3309" s="19"/>
      <c r="N3309" s="19"/>
      <c r="P3309" s="19"/>
      <c r="AL3309" s="19"/>
    </row>
    <row r="3310" spans="1:38" s="11" customFormat="1" x14ac:dyDescent="0.25">
      <c r="A3310" s="3"/>
      <c r="F3310" s="19"/>
      <c r="G3310" s="19"/>
      <c r="N3310" s="19"/>
      <c r="P3310" s="19"/>
      <c r="AL3310" s="19"/>
    </row>
    <row r="3311" spans="1:38" s="11" customFormat="1" x14ac:dyDescent="0.25">
      <c r="A3311" s="3"/>
      <c r="F3311" s="19"/>
      <c r="G3311" s="19"/>
      <c r="N3311" s="19"/>
      <c r="P3311" s="19"/>
      <c r="AL3311" s="19"/>
    </row>
    <row r="3312" spans="1:38" s="11" customFormat="1" x14ac:dyDescent="0.25">
      <c r="A3312" s="3"/>
      <c r="F3312" s="19"/>
      <c r="G3312" s="19"/>
      <c r="N3312" s="19"/>
      <c r="P3312" s="19"/>
      <c r="AL3312" s="19"/>
    </row>
    <row r="3313" spans="1:38" s="11" customFormat="1" x14ac:dyDescent="0.25">
      <c r="A3313" s="3"/>
      <c r="F3313" s="19"/>
      <c r="G3313" s="19"/>
      <c r="N3313" s="19"/>
      <c r="P3313" s="19"/>
      <c r="AL3313" s="19"/>
    </row>
    <row r="3314" spans="1:38" s="11" customFormat="1" x14ac:dyDescent="0.25">
      <c r="A3314" s="3"/>
      <c r="F3314" s="19"/>
      <c r="G3314" s="19"/>
      <c r="N3314" s="19"/>
      <c r="P3314" s="19"/>
      <c r="AL3314" s="19"/>
    </row>
    <row r="3315" spans="1:38" s="11" customFormat="1" x14ac:dyDescent="0.25">
      <c r="A3315" s="3"/>
      <c r="F3315" s="19"/>
      <c r="G3315" s="19"/>
      <c r="N3315" s="19"/>
      <c r="P3315" s="19"/>
      <c r="AL3315" s="19"/>
    </row>
    <row r="3316" spans="1:38" s="11" customFormat="1" x14ac:dyDescent="0.25">
      <c r="A3316" s="3"/>
      <c r="F3316" s="19"/>
      <c r="G3316" s="19"/>
      <c r="N3316" s="19"/>
      <c r="P3316" s="19"/>
      <c r="AL3316" s="19"/>
    </row>
    <row r="3317" spans="1:38" s="11" customFormat="1" x14ac:dyDescent="0.25">
      <c r="A3317" s="3"/>
      <c r="F3317" s="19"/>
      <c r="G3317" s="19"/>
      <c r="N3317" s="19"/>
      <c r="P3317" s="19"/>
      <c r="AL3317" s="19"/>
    </row>
    <row r="3318" spans="1:38" s="11" customFormat="1" x14ac:dyDescent="0.25">
      <c r="A3318" s="3"/>
      <c r="F3318" s="19"/>
      <c r="G3318" s="19"/>
      <c r="N3318" s="19"/>
      <c r="P3318" s="19"/>
      <c r="AL3318" s="19"/>
    </row>
    <row r="3319" spans="1:38" s="11" customFormat="1" x14ac:dyDescent="0.25">
      <c r="A3319" s="3"/>
      <c r="F3319" s="19"/>
      <c r="G3319" s="19"/>
      <c r="N3319" s="19"/>
      <c r="P3319" s="19"/>
      <c r="AL3319" s="19"/>
    </row>
    <row r="3320" spans="1:38" s="11" customFormat="1" x14ac:dyDescent="0.25">
      <c r="A3320" s="3"/>
      <c r="F3320" s="19"/>
      <c r="G3320" s="19"/>
      <c r="N3320" s="19"/>
      <c r="P3320" s="19"/>
      <c r="AL3320" s="19"/>
    </row>
    <row r="3321" spans="1:38" s="11" customFormat="1" x14ac:dyDescent="0.25">
      <c r="A3321" s="3"/>
      <c r="F3321" s="19"/>
      <c r="G3321" s="19"/>
      <c r="N3321" s="19"/>
      <c r="P3321" s="19"/>
      <c r="AL3321" s="19"/>
    </row>
    <row r="3322" spans="1:38" s="11" customFormat="1" x14ac:dyDescent="0.25">
      <c r="A3322" s="3"/>
      <c r="F3322" s="19"/>
      <c r="G3322" s="19"/>
      <c r="N3322" s="19"/>
      <c r="P3322" s="19"/>
      <c r="AL3322" s="19"/>
    </row>
    <row r="3323" spans="1:38" s="11" customFormat="1" x14ac:dyDescent="0.25">
      <c r="A3323" s="3"/>
      <c r="F3323" s="19"/>
      <c r="G3323" s="19"/>
      <c r="N3323" s="19"/>
      <c r="P3323" s="19"/>
      <c r="AL3323" s="19"/>
    </row>
    <row r="3324" spans="1:38" s="11" customFormat="1" x14ac:dyDescent="0.25">
      <c r="A3324" s="3"/>
      <c r="F3324" s="19"/>
      <c r="G3324" s="19"/>
      <c r="N3324" s="19"/>
      <c r="P3324" s="19"/>
      <c r="AL3324" s="19"/>
    </row>
    <row r="3325" spans="1:38" s="11" customFormat="1" x14ac:dyDescent="0.25">
      <c r="A3325" s="3"/>
      <c r="F3325" s="19"/>
      <c r="G3325" s="19"/>
      <c r="N3325" s="19"/>
      <c r="P3325" s="19"/>
      <c r="AL3325" s="19"/>
    </row>
    <row r="3326" spans="1:38" s="11" customFormat="1" x14ac:dyDescent="0.25">
      <c r="A3326" s="3"/>
      <c r="F3326" s="19"/>
      <c r="G3326" s="19"/>
      <c r="N3326" s="19"/>
      <c r="P3326" s="19"/>
      <c r="AL3326" s="19"/>
    </row>
    <row r="3327" spans="1:38" s="11" customFormat="1" x14ac:dyDescent="0.25">
      <c r="A3327" s="3"/>
      <c r="F3327" s="19"/>
      <c r="G3327" s="19"/>
      <c r="N3327" s="19"/>
      <c r="P3327" s="19"/>
      <c r="AL3327" s="19"/>
    </row>
    <row r="3328" spans="1:38" s="11" customFormat="1" x14ac:dyDescent="0.25">
      <c r="A3328" s="3"/>
      <c r="F3328" s="19"/>
      <c r="G3328" s="19"/>
      <c r="N3328" s="19"/>
      <c r="P3328" s="19"/>
      <c r="AL3328" s="19"/>
    </row>
    <row r="3329" spans="1:38" s="11" customFormat="1" x14ac:dyDescent="0.25">
      <c r="A3329" s="3"/>
      <c r="F3329" s="19"/>
      <c r="G3329" s="19"/>
      <c r="N3329" s="19"/>
      <c r="P3329" s="19"/>
      <c r="AL3329" s="19"/>
    </row>
    <row r="3330" spans="1:38" s="11" customFormat="1" x14ac:dyDescent="0.25">
      <c r="A3330" s="3"/>
      <c r="F3330" s="19"/>
      <c r="G3330" s="19"/>
      <c r="N3330" s="19"/>
      <c r="P3330" s="19"/>
      <c r="AL3330" s="19"/>
    </row>
    <row r="3331" spans="1:38" s="11" customFormat="1" x14ac:dyDescent="0.25">
      <c r="A3331" s="3"/>
      <c r="F3331" s="19"/>
      <c r="G3331" s="19"/>
      <c r="N3331" s="19"/>
      <c r="P3331" s="19"/>
      <c r="AL3331" s="19"/>
    </row>
    <row r="3332" spans="1:38" s="11" customFormat="1" x14ac:dyDescent="0.25">
      <c r="A3332" s="3"/>
      <c r="F3332" s="19"/>
      <c r="G3332" s="19"/>
      <c r="N3332" s="19"/>
      <c r="P3332" s="19"/>
      <c r="AL3332" s="19"/>
    </row>
    <row r="3333" spans="1:38" s="11" customFormat="1" x14ac:dyDescent="0.25">
      <c r="A3333" s="3"/>
      <c r="F3333" s="19"/>
      <c r="G3333" s="19"/>
      <c r="N3333" s="19"/>
      <c r="P3333" s="19"/>
      <c r="AL3333" s="19"/>
    </row>
    <row r="3334" spans="1:38" s="11" customFormat="1" x14ac:dyDescent="0.25">
      <c r="A3334" s="3"/>
      <c r="F3334" s="19"/>
      <c r="G3334" s="19"/>
      <c r="N3334" s="19"/>
      <c r="P3334" s="19"/>
      <c r="AL3334" s="19"/>
    </row>
    <row r="3335" spans="1:38" s="11" customFormat="1" x14ac:dyDescent="0.25">
      <c r="A3335" s="3"/>
      <c r="F3335" s="19"/>
      <c r="G3335" s="19"/>
      <c r="N3335" s="19"/>
      <c r="P3335" s="19"/>
      <c r="AL3335" s="19"/>
    </row>
    <row r="3336" spans="1:38" s="11" customFormat="1" x14ac:dyDescent="0.25">
      <c r="A3336" s="3"/>
      <c r="F3336" s="19"/>
      <c r="G3336" s="19"/>
      <c r="N3336" s="19"/>
      <c r="P3336" s="19"/>
      <c r="AL3336" s="19"/>
    </row>
    <row r="3337" spans="1:38" s="11" customFormat="1" x14ac:dyDescent="0.25">
      <c r="A3337" s="3"/>
      <c r="F3337" s="19"/>
      <c r="G3337" s="19"/>
      <c r="N3337" s="19"/>
      <c r="P3337" s="19"/>
      <c r="AL3337" s="19"/>
    </row>
    <row r="3338" spans="1:38" s="11" customFormat="1" x14ac:dyDescent="0.25">
      <c r="A3338" s="3"/>
      <c r="F3338" s="19"/>
      <c r="G3338" s="19"/>
      <c r="N3338" s="19"/>
      <c r="P3338" s="19"/>
      <c r="AL3338" s="19"/>
    </row>
    <row r="3339" spans="1:38" s="11" customFormat="1" x14ac:dyDescent="0.25">
      <c r="A3339" s="3"/>
      <c r="F3339" s="19"/>
      <c r="G3339" s="19"/>
      <c r="N3339" s="19"/>
      <c r="P3339" s="19"/>
      <c r="AL3339" s="19"/>
    </row>
    <row r="3340" spans="1:38" s="11" customFormat="1" x14ac:dyDescent="0.25">
      <c r="A3340" s="3"/>
      <c r="F3340" s="19"/>
      <c r="G3340" s="19"/>
      <c r="N3340" s="19"/>
      <c r="P3340" s="19"/>
      <c r="AL3340" s="19"/>
    </row>
    <row r="3341" spans="1:38" s="11" customFormat="1" x14ac:dyDescent="0.25">
      <c r="A3341" s="3"/>
      <c r="F3341" s="19"/>
      <c r="G3341" s="19"/>
      <c r="N3341" s="19"/>
      <c r="P3341" s="19"/>
      <c r="AL3341" s="19"/>
    </row>
    <row r="3342" spans="1:38" s="11" customFormat="1" x14ac:dyDescent="0.25">
      <c r="A3342" s="3"/>
      <c r="F3342" s="19"/>
      <c r="G3342" s="19"/>
      <c r="N3342" s="19"/>
      <c r="P3342" s="19"/>
      <c r="AL3342" s="19"/>
    </row>
    <row r="3343" spans="1:38" s="11" customFormat="1" x14ac:dyDescent="0.25">
      <c r="A3343" s="3"/>
      <c r="F3343" s="19"/>
      <c r="G3343" s="19"/>
      <c r="N3343" s="19"/>
      <c r="P3343" s="19"/>
      <c r="AL3343" s="19"/>
    </row>
    <row r="3344" spans="1:38" s="11" customFormat="1" x14ac:dyDescent="0.25">
      <c r="A3344" s="3"/>
      <c r="F3344" s="19"/>
      <c r="G3344" s="19"/>
      <c r="N3344" s="19"/>
      <c r="P3344" s="19"/>
      <c r="AL3344" s="19"/>
    </row>
    <row r="3345" spans="1:38" s="11" customFormat="1" x14ac:dyDescent="0.25">
      <c r="A3345" s="3"/>
      <c r="F3345" s="19"/>
      <c r="G3345" s="19"/>
      <c r="N3345" s="19"/>
      <c r="P3345" s="19"/>
      <c r="AL3345" s="19"/>
    </row>
    <row r="3346" spans="1:38" s="11" customFormat="1" x14ac:dyDescent="0.25">
      <c r="A3346" s="3"/>
      <c r="F3346" s="19"/>
      <c r="G3346" s="19"/>
      <c r="N3346" s="19"/>
      <c r="P3346" s="19"/>
      <c r="AL3346" s="19"/>
    </row>
    <row r="3347" spans="1:38" s="11" customFormat="1" x14ac:dyDescent="0.25">
      <c r="A3347" s="3"/>
      <c r="F3347" s="19"/>
      <c r="G3347" s="19"/>
      <c r="N3347" s="19"/>
      <c r="P3347" s="19"/>
      <c r="AL3347" s="19"/>
    </row>
    <row r="3348" spans="1:38" s="11" customFormat="1" x14ac:dyDescent="0.25">
      <c r="A3348" s="3"/>
      <c r="F3348" s="19"/>
      <c r="G3348" s="19"/>
      <c r="N3348" s="19"/>
      <c r="P3348" s="19"/>
      <c r="AL3348" s="19"/>
    </row>
    <row r="3349" spans="1:38" s="11" customFormat="1" x14ac:dyDescent="0.25">
      <c r="A3349" s="3"/>
      <c r="F3349" s="19"/>
      <c r="G3349" s="19"/>
      <c r="N3349" s="19"/>
      <c r="P3349" s="19"/>
      <c r="AL3349" s="19"/>
    </row>
    <row r="3350" spans="1:38" s="11" customFormat="1" x14ac:dyDescent="0.25">
      <c r="A3350" s="3"/>
      <c r="F3350" s="19"/>
      <c r="G3350" s="19"/>
      <c r="N3350" s="19"/>
      <c r="P3350" s="19"/>
      <c r="AL3350" s="19"/>
    </row>
    <row r="3351" spans="1:38" s="11" customFormat="1" x14ac:dyDescent="0.25">
      <c r="A3351" s="3"/>
      <c r="F3351" s="19"/>
      <c r="G3351" s="19"/>
      <c r="N3351" s="19"/>
      <c r="P3351" s="19"/>
      <c r="AL3351" s="19"/>
    </row>
    <row r="3352" spans="1:38" s="11" customFormat="1" x14ac:dyDescent="0.25">
      <c r="A3352" s="3"/>
      <c r="F3352" s="19"/>
      <c r="G3352" s="19"/>
      <c r="N3352" s="19"/>
      <c r="P3352" s="19"/>
      <c r="AL3352" s="19"/>
    </row>
    <row r="3353" spans="1:38" s="11" customFormat="1" x14ac:dyDescent="0.25">
      <c r="A3353" s="3"/>
      <c r="F3353" s="19"/>
      <c r="G3353" s="19"/>
      <c r="N3353" s="19"/>
      <c r="P3353" s="19"/>
      <c r="AL3353" s="19"/>
    </row>
    <row r="3354" spans="1:38" s="11" customFormat="1" x14ac:dyDescent="0.25">
      <c r="A3354" s="3"/>
      <c r="F3354" s="19"/>
      <c r="G3354" s="19"/>
      <c r="N3354" s="19"/>
      <c r="P3354" s="19"/>
      <c r="AL3354" s="19"/>
    </row>
    <row r="3355" spans="1:38" s="11" customFormat="1" x14ac:dyDescent="0.25">
      <c r="A3355" s="3"/>
      <c r="F3355" s="19"/>
      <c r="G3355" s="19"/>
      <c r="N3355" s="19"/>
      <c r="P3355" s="19"/>
      <c r="AL3355" s="19"/>
    </row>
    <row r="3356" spans="1:38" s="11" customFormat="1" x14ac:dyDescent="0.25">
      <c r="A3356" s="3"/>
      <c r="F3356" s="19"/>
      <c r="G3356" s="19"/>
      <c r="N3356" s="19"/>
      <c r="P3356" s="19"/>
      <c r="AL3356" s="19"/>
    </row>
    <row r="3357" spans="1:38" s="11" customFormat="1" x14ac:dyDescent="0.25">
      <c r="A3357" s="3"/>
      <c r="F3357" s="19"/>
      <c r="G3357" s="19"/>
      <c r="N3357" s="19"/>
      <c r="P3357" s="19"/>
      <c r="AL3357" s="19"/>
    </row>
    <row r="3358" spans="1:38" s="11" customFormat="1" x14ac:dyDescent="0.25">
      <c r="A3358" s="3"/>
      <c r="F3358" s="19"/>
      <c r="G3358" s="19"/>
      <c r="N3358" s="19"/>
      <c r="P3358" s="19"/>
      <c r="AL3358" s="19"/>
    </row>
    <row r="3359" spans="1:38" s="11" customFormat="1" x14ac:dyDescent="0.25">
      <c r="A3359" s="3"/>
      <c r="F3359" s="19"/>
      <c r="G3359" s="19"/>
      <c r="N3359" s="19"/>
      <c r="P3359" s="19"/>
      <c r="AL3359" s="19"/>
    </row>
    <row r="3360" spans="1:38" s="11" customFormat="1" x14ac:dyDescent="0.25">
      <c r="A3360" s="3"/>
      <c r="F3360" s="19"/>
      <c r="G3360" s="19"/>
      <c r="N3360" s="19"/>
      <c r="P3360" s="19"/>
      <c r="AL3360" s="19"/>
    </row>
    <row r="3361" spans="1:38" s="11" customFormat="1" x14ac:dyDescent="0.25">
      <c r="A3361" s="3"/>
      <c r="F3361" s="19"/>
      <c r="G3361" s="19"/>
      <c r="N3361" s="19"/>
      <c r="P3361" s="19"/>
      <c r="AL3361" s="19"/>
    </row>
    <row r="3362" spans="1:38" s="11" customFormat="1" x14ac:dyDescent="0.25">
      <c r="A3362" s="3"/>
      <c r="F3362" s="19"/>
      <c r="G3362" s="19"/>
      <c r="N3362" s="19"/>
      <c r="P3362" s="19"/>
      <c r="AL3362" s="19"/>
    </row>
    <row r="3363" spans="1:38" s="11" customFormat="1" x14ac:dyDescent="0.25">
      <c r="A3363" s="3"/>
      <c r="F3363" s="19"/>
      <c r="G3363" s="19"/>
      <c r="N3363" s="19"/>
      <c r="P3363" s="19"/>
      <c r="AL3363" s="19"/>
    </row>
    <row r="3364" spans="1:38" s="11" customFormat="1" x14ac:dyDescent="0.25">
      <c r="A3364" s="3"/>
      <c r="F3364" s="19"/>
      <c r="G3364" s="19"/>
      <c r="N3364" s="19"/>
      <c r="P3364" s="19"/>
      <c r="AL3364" s="19"/>
    </row>
    <row r="3365" spans="1:38" s="11" customFormat="1" x14ac:dyDescent="0.25">
      <c r="A3365" s="3"/>
      <c r="F3365" s="19"/>
      <c r="G3365" s="19"/>
      <c r="N3365" s="19"/>
      <c r="P3365" s="19"/>
      <c r="AL3365" s="19"/>
    </row>
    <row r="3366" spans="1:38" s="11" customFormat="1" x14ac:dyDescent="0.25">
      <c r="A3366" s="3"/>
      <c r="F3366" s="19"/>
      <c r="G3366" s="19"/>
      <c r="N3366" s="19"/>
      <c r="P3366" s="19"/>
      <c r="AL3366" s="19"/>
    </row>
    <row r="3367" spans="1:38" s="11" customFormat="1" x14ac:dyDescent="0.25">
      <c r="A3367" s="3"/>
      <c r="F3367" s="19"/>
      <c r="G3367" s="19"/>
      <c r="N3367" s="19"/>
      <c r="P3367" s="19"/>
      <c r="AL3367" s="19"/>
    </row>
    <row r="3368" spans="1:38" s="11" customFormat="1" x14ac:dyDescent="0.25">
      <c r="A3368" s="3"/>
      <c r="F3368" s="19"/>
      <c r="G3368" s="19"/>
      <c r="N3368" s="19"/>
      <c r="P3368" s="19"/>
      <c r="AL3368" s="19"/>
    </row>
    <row r="3369" spans="1:38" s="11" customFormat="1" x14ac:dyDescent="0.25">
      <c r="A3369" s="3"/>
      <c r="F3369" s="19"/>
      <c r="G3369" s="19"/>
      <c r="N3369" s="19"/>
      <c r="P3369" s="19"/>
      <c r="AL3369" s="19"/>
    </row>
    <row r="3370" spans="1:38" s="11" customFormat="1" x14ac:dyDescent="0.25">
      <c r="A3370" s="3"/>
      <c r="F3370" s="19"/>
      <c r="G3370" s="19"/>
      <c r="N3370" s="19"/>
      <c r="P3370" s="19"/>
      <c r="AL3370" s="19"/>
    </row>
    <row r="3371" spans="1:38" s="11" customFormat="1" x14ac:dyDescent="0.25">
      <c r="A3371" s="3"/>
      <c r="F3371" s="19"/>
      <c r="G3371" s="19"/>
      <c r="N3371" s="19"/>
      <c r="P3371" s="19"/>
      <c r="AL3371" s="19"/>
    </row>
    <row r="3372" spans="1:38" s="11" customFormat="1" x14ac:dyDescent="0.25">
      <c r="A3372" s="3"/>
      <c r="F3372" s="19"/>
      <c r="G3372" s="19"/>
      <c r="N3372" s="19"/>
      <c r="P3372" s="19"/>
      <c r="AL3372" s="19"/>
    </row>
    <row r="3373" spans="1:38" s="11" customFormat="1" x14ac:dyDescent="0.25">
      <c r="A3373" s="3"/>
      <c r="F3373" s="19"/>
      <c r="G3373" s="19"/>
      <c r="N3373" s="19"/>
      <c r="P3373" s="19"/>
      <c r="AL3373" s="19"/>
    </row>
    <row r="3374" spans="1:38" s="11" customFormat="1" x14ac:dyDescent="0.25">
      <c r="A3374" s="3"/>
      <c r="F3374" s="19"/>
      <c r="G3374" s="19"/>
      <c r="N3374" s="19"/>
      <c r="P3374" s="19"/>
      <c r="AL3374" s="19"/>
    </row>
    <row r="3375" spans="1:38" s="11" customFormat="1" x14ac:dyDescent="0.25">
      <c r="A3375" s="3"/>
      <c r="F3375" s="19"/>
      <c r="G3375" s="19"/>
      <c r="N3375" s="19"/>
      <c r="P3375" s="19"/>
      <c r="AL3375" s="19"/>
    </row>
    <row r="3376" spans="1:38" s="11" customFormat="1" x14ac:dyDescent="0.25">
      <c r="A3376" s="3"/>
      <c r="F3376" s="19"/>
      <c r="G3376" s="19"/>
      <c r="N3376" s="19"/>
      <c r="P3376" s="19"/>
      <c r="AL3376" s="19"/>
    </row>
    <row r="3377" spans="1:38" s="11" customFormat="1" x14ac:dyDescent="0.25">
      <c r="A3377" s="3"/>
      <c r="F3377" s="19"/>
      <c r="G3377" s="19"/>
      <c r="N3377" s="19"/>
      <c r="P3377" s="19"/>
      <c r="AL3377" s="19"/>
    </row>
    <row r="3378" spans="1:38" s="11" customFormat="1" x14ac:dyDescent="0.25">
      <c r="A3378" s="3"/>
      <c r="F3378" s="19"/>
      <c r="G3378" s="19"/>
      <c r="N3378" s="19"/>
      <c r="P3378" s="19"/>
      <c r="AL3378" s="19"/>
    </row>
    <row r="3379" spans="1:38" s="11" customFormat="1" x14ac:dyDescent="0.25">
      <c r="A3379" s="3"/>
      <c r="F3379" s="19"/>
      <c r="G3379" s="19"/>
      <c r="N3379" s="19"/>
      <c r="P3379" s="19"/>
      <c r="AL3379" s="19"/>
    </row>
    <row r="3380" spans="1:38" s="11" customFormat="1" x14ac:dyDescent="0.25">
      <c r="A3380" s="3"/>
      <c r="F3380" s="19"/>
      <c r="G3380" s="19"/>
      <c r="N3380" s="19"/>
      <c r="P3380" s="19"/>
      <c r="AL3380" s="19"/>
    </row>
    <row r="3381" spans="1:38" s="11" customFormat="1" x14ac:dyDescent="0.25">
      <c r="A3381" s="3"/>
      <c r="F3381" s="19"/>
      <c r="G3381" s="19"/>
      <c r="N3381" s="19"/>
      <c r="P3381" s="19"/>
      <c r="AL3381" s="19"/>
    </row>
    <row r="3382" spans="1:38" s="11" customFormat="1" x14ac:dyDescent="0.25">
      <c r="A3382" s="3"/>
      <c r="F3382" s="19"/>
      <c r="G3382" s="19"/>
      <c r="N3382" s="19"/>
      <c r="P3382" s="19"/>
      <c r="AL3382" s="19"/>
    </row>
    <row r="3383" spans="1:38" s="11" customFormat="1" x14ac:dyDescent="0.25">
      <c r="A3383" s="3"/>
      <c r="F3383" s="19"/>
      <c r="G3383" s="19"/>
      <c r="N3383" s="19"/>
      <c r="P3383" s="19"/>
      <c r="AL3383" s="19"/>
    </row>
    <row r="3384" spans="1:38" s="11" customFormat="1" x14ac:dyDescent="0.25">
      <c r="A3384" s="3"/>
      <c r="F3384" s="19"/>
      <c r="G3384" s="19"/>
      <c r="N3384" s="19"/>
      <c r="P3384" s="19"/>
      <c r="AL3384" s="19"/>
    </row>
    <row r="3385" spans="1:38" s="11" customFormat="1" x14ac:dyDescent="0.25">
      <c r="A3385" s="3"/>
      <c r="F3385" s="19"/>
      <c r="G3385" s="19"/>
      <c r="N3385" s="19"/>
      <c r="P3385" s="19"/>
      <c r="AL3385" s="19"/>
    </row>
    <row r="3386" spans="1:38" s="11" customFormat="1" x14ac:dyDescent="0.25">
      <c r="A3386" s="3"/>
      <c r="F3386" s="19"/>
      <c r="G3386" s="19"/>
      <c r="N3386" s="19"/>
      <c r="P3386" s="19"/>
      <c r="AL3386" s="19"/>
    </row>
    <row r="3387" spans="1:38" s="11" customFormat="1" x14ac:dyDescent="0.25">
      <c r="A3387" s="3"/>
      <c r="F3387" s="19"/>
      <c r="G3387" s="19"/>
      <c r="N3387" s="19"/>
      <c r="P3387" s="19"/>
      <c r="AL3387" s="19"/>
    </row>
    <row r="3388" spans="1:38" s="11" customFormat="1" x14ac:dyDescent="0.25">
      <c r="A3388" s="3"/>
      <c r="F3388" s="19"/>
      <c r="G3388" s="19"/>
      <c r="N3388" s="19"/>
      <c r="P3388" s="19"/>
      <c r="AL3388" s="19"/>
    </row>
    <row r="3389" spans="1:38" s="11" customFormat="1" x14ac:dyDescent="0.25">
      <c r="A3389" s="3"/>
      <c r="F3389" s="19"/>
      <c r="G3389" s="19"/>
      <c r="N3389" s="19"/>
      <c r="P3389" s="19"/>
      <c r="AL3389" s="19"/>
    </row>
    <row r="3390" spans="1:38" s="11" customFormat="1" x14ac:dyDescent="0.25">
      <c r="A3390" s="3"/>
      <c r="F3390" s="19"/>
      <c r="G3390" s="19"/>
      <c r="N3390" s="19"/>
      <c r="P3390" s="19"/>
      <c r="AL3390" s="19"/>
    </row>
    <row r="3391" spans="1:38" s="11" customFormat="1" x14ac:dyDescent="0.25">
      <c r="A3391" s="3"/>
      <c r="F3391" s="19"/>
      <c r="G3391" s="19"/>
      <c r="N3391" s="19"/>
      <c r="P3391" s="19"/>
      <c r="AL3391" s="19"/>
    </row>
    <row r="3392" spans="1:38" s="11" customFormat="1" x14ac:dyDescent="0.25">
      <c r="A3392" s="3"/>
      <c r="F3392" s="19"/>
      <c r="G3392" s="19"/>
      <c r="N3392" s="19"/>
      <c r="P3392" s="19"/>
      <c r="AL3392" s="19"/>
    </row>
    <row r="3393" spans="1:38" s="11" customFormat="1" x14ac:dyDescent="0.25">
      <c r="A3393" s="3"/>
      <c r="F3393" s="19"/>
      <c r="G3393" s="19"/>
      <c r="N3393" s="19"/>
      <c r="P3393" s="19"/>
      <c r="AL3393" s="19"/>
    </row>
    <row r="3394" spans="1:38" s="11" customFormat="1" x14ac:dyDescent="0.25">
      <c r="A3394" s="3"/>
      <c r="F3394" s="19"/>
      <c r="G3394" s="19"/>
      <c r="N3394" s="19"/>
      <c r="P3394" s="19"/>
      <c r="AL3394" s="19"/>
    </row>
    <row r="3395" spans="1:38" s="11" customFormat="1" x14ac:dyDescent="0.25">
      <c r="A3395" s="3"/>
      <c r="F3395" s="19"/>
      <c r="G3395" s="19"/>
      <c r="N3395" s="19"/>
      <c r="P3395" s="19"/>
      <c r="AL3395" s="19"/>
    </row>
    <row r="3396" spans="1:38" s="11" customFormat="1" x14ac:dyDescent="0.25">
      <c r="A3396" s="3"/>
      <c r="F3396" s="19"/>
      <c r="G3396" s="19"/>
      <c r="N3396" s="19"/>
      <c r="P3396" s="19"/>
      <c r="AL3396" s="19"/>
    </row>
    <row r="3397" spans="1:38" s="11" customFormat="1" x14ac:dyDescent="0.25">
      <c r="A3397" s="3"/>
      <c r="F3397" s="19"/>
      <c r="G3397" s="19"/>
      <c r="N3397" s="19"/>
      <c r="P3397" s="19"/>
      <c r="AL3397" s="19"/>
    </row>
    <row r="3398" spans="1:38" s="11" customFormat="1" x14ac:dyDescent="0.25">
      <c r="A3398" s="3"/>
      <c r="F3398" s="19"/>
      <c r="G3398" s="19"/>
      <c r="N3398" s="19"/>
      <c r="P3398" s="19"/>
      <c r="AL3398" s="19"/>
    </row>
    <row r="3399" spans="1:38" s="11" customFormat="1" x14ac:dyDescent="0.25">
      <c r="A3399" s="3"/>
      <c r="F3399" s="19"/>
      <c r="G3399" s="19"/>
      <c r="N3399" s="19"/>
      <c r="P3399" s="19"/>
      <c r="AL3399" s="19"/>
    </row>
    <row r="3400" spans="1:38" s="11" customFormat="1" x14ac:dyDescent="0.25">
      <c r="A3400" s="3"/>
      <c r="F3400" s="19"/>
      <c r="G3400" s="19"/>
      <c r="N3400" s="19"/>
      <c r="P3400" s="19"/>
      <c r="AL3400" s="19"/>
    </row>
    <row r="3401" spans="1:38" s="11" customFormat="1" x14ac:dyDescent="0.25">
      <c r="A3401" s="3"/>
      <c r="F3401" s="19"/>
      <c r="G3401" s="19"/>
      <c r="N3401" s="19"/>
      <c r="P3401" s="19"/>
      <c r="AL3401" s="19"/>
    </row>
    <row r="3402" spans="1:38" s="11" customFormat="1" x14ac:dyDescent="0.25">
      <c r="A3402" s="3"/>
      <c r="F3402" s="19"/>
      <c r="G3402" s="19"/>
      <c r="N3402" s="19"/>
      <c r="P3402" s="19"/>
      <c r="AL3402" s="19"/>
    </row>
    <row r="3403" spans="1:38" s="11" customFormat="1" x14ac:dyDescent="0.25">
      <c r="A3403" s="3"/>
      <c r="F3403" s="19"/>
      <c r="G3403" s="19"/>
      <c r="N3403" s="19"/>
      <c r="P3403" s="19"/>
      <c r="AL3403" s="19"/>
    </row>
    <row r="3404" spans="1:38" s="11" customFormat="1" x14ac:dyDescent="0.25">
      <c r="A3404" s="3"/>
      <c r="F3404" s="19"/>
      <c r="G3404" s="19"/>
      <c r="N3404" s="19"/>
      <c r="P3404" s="19"/>
      <c r="AL3404" s="19"/>
    </row>
    <row r="3405" spans="1:38" s="11" customFormat="1" x14ac:dyDescent="0.25">
      <c r="A3405" s="3"/>
      <c r="F3405" s="19"/>
      <c r="G3405" s="19"/>
      <c r="N3405" s="19"/>
      <c r="P3405" s="19"/>
      <c r="AL3405" s="19"/>
    </row>
    <row r="3406" spans="1:38" s="11" customFormat="1" x14ac:dyDescent="0.25">
      <c r="A3406" s="3"/>
      <c r="F3406" s="19"/>
      <c r="G3406" s="19"/>
      <c r="N3406" s="19"/>
      <c r="P3406" s="19"/>
      <c r="AL3406" s="19"/>
    </row>
    <row r="3407" spans="1:38" s="11" customFormat="1" x14ac:dyDescent="0.25">
      <c r="A3407" s="3"/>
      <c r="F3407" s="19"/>
      <c r="G3407" s="19"/>
      <c r="N3407" s="19"/>
      <c r="P3407" s="19"/>
      <c r="AL3407" s="19"/>
    </row>
    <row r="3408" spans="1:38" s="11" customFormat="1" x14ac:dyDescent="0.25">
      <c r="A3408" s="3"/>
      <c r="F3408" s="19"/>
      <c r="G3408" s="19"/>
      <c r="N3408" s="19"/>
      <c r="P3408" s="19"/>
      <c r="AL3408" s="19"/>
    </row>
    <row r="3409" spans="1:38" s="11" customFormat="1" x14ac:dyDescent="0.25">
      <c r="A3409" s="3"/>
      <c r="F3409" s="19"/>
      <c r="G3409" s="19"/>
      <c r="N3409" s="19"/>
      <c r="P3409" s="19"/>
      <c r="AL3409" s="19"/>
    </row>
    <row r="3410" spans="1:38" s="11" customFormat="1" x14ac:dyDescent="0.25">
      <c r="A3410" s="3"/>
      <c r="F3410" s="19"/>
      <c r="G3410" s="19"/>
      <c r="N3410" s="19"/>
      <c r="P3410" s="19"/>
      <c r="AL3410" s="19"/>
    </row>
    <row r="3411" spans="1:38" s="11" customFormat="1" x14ac:dyDescent="0.25">
      <c r="A3411" s="3"/>
      <c r="F3411" s="19"/>
      <c r="G3411" s="19"/>
      <c r="N3411" s="19"/>
      <c r="P3411" s="19"/>
      <c r="AL3411" s="19"/>
    </row>
    <row r="3412" spans="1:38" s="11" customFormat="1" x14ac:dyDescent="0.25">
      <c r="A3412" s="3"/>
      <c r="F3412" s="19"/>
      <c r="G3412" s="19"/>
      <c r="N3412" s="19"/>
      <c r="P3412" s="19"/>
      <c r="AL3412" s="19"/>
    </row>
    <row r="3413" spans="1:38" s="11" customFormat="1" x14ac:dyDescent="0.25">
      <c r="A3413" s="3"/>
      <c r="F3413" s="19"/>
      <c r="G3413" s="19"/>
      <c r="N3413" s="19"/>
      <c r="P3413" s="19"/>
      <c r="AL3413" s="19"/>
    </row>
    <row r="3414" spans="1:38" s="11" customFormat="1" x14ac:dyDescent="0.25">
      <c r="A3414" s="3"/>
      <c r="F3414" s="19"/>
      <c r="G3414" s="19"/>
      <c r="N3414" s="19"/>
      <c r="P3414" s="19"/>
      <c r="AL3414" s="19"/>
    </row>
    <row r="3415" spans="1:38" s="11" customFormat="1" x14ac:dyDescent="0.25">
      <c r="A3415" s="3"/>
      <c r="F3415" s="19"/>
      <c r="G3415" s="19"/>
      <c r="N3415" s="19"/>
      <c r="P3415" s="19"/>
      <c r="AL3415" s="19"/>
    </row>
    <row r="3416" spans="1:38" s="11" customFormat="1" x14ac:dyDescent="0.25">
      <c r="A3416" s="3"/>
      <c r="F3416" s="19"/>
      <c r="G3416" s="19"/>
      <c r="N3416" s="19"/>
      <c r="P3416" s="19"/>
      <c r="AL3416" s="19"/>
    </row>
    <row r="3417" spans="1:38" s="11" customFormat="1" x14ac:dyDescent="0.25">
      <c r="A3417" s="3"/>
      <c r="F3417" s="19"/>
      <c r="G3417" s="19"/>
      <c r="N3417" s="19"/>
      <c r="P3417" s="19"/>
      <c r="AL3417" s="19"/>
    </row>
    <row r="3418" spans="1:38" s="11" customFormat="1" x14ac:dyDescent="0.25">
      <c r="A3418" s="3"/>
      <c r="F3418" s="19"/>
      <c r="G3418" s="19"/>
      <c r="N3418" s="19"/>
      <c r="P3418" s="19"/>
      <c r="AL3418" s="19"/>
    </row>
    <row r="3419" spans="1:38" s="11" customFormat="1" x14ac:dyDescent="0.25">
      <c r="A3419" s="3"/>
      <c r="F3419" s="19"/>
      <c r="G3419" s="19"/>
      <c r="N3419" s="19"/>
      <c r="P3419" s="19"/>
      <c r="AL3419" s="19"/>
    </row>
    <row r="3420" spans="1:38" s="11" customFormat="1" x14ac:dyDescent="0.25">
      <c r="A3420" s="3"/>
      <c r="F3420" s="19"/>
      <c r="G3420" s="19"/>
      <c r="N3420" s="19"/>
      <c r="P3420" s="19"/>
      <c r="AL3420" s="19"/>
    </row>
    <row r="3421" spans="1:38" s="11" customFormat="1" x14ac:dyDescent="0.25">
      <c r="A3421" s="3"/>
      <c r="F3421" s="19"/>
      <c r="G3421" s="19"/>
      <c r="N3421" s="19"/>
      <c r="P3421" s="19"/>
      <c r="AL3421" s="19"/>
    </row>
    <row r="3422" spans="1:38" s="11" customFormat="1" x14ac:dyDescent="0.25">
      <c r="A3422" s="3"/>
      <c r="F3422" s="19"/>
      <c r="G3422" s="19"/>
      <c r="N3422" s="19"/>
      <c r="P3422" s="19"/>
      <c r="AL3422" s="19"/>
    </row>
    <row r="3423" spans="1:38" s="11" customFormat="1" x14ac:dyDescent="0.25">
      <c r="A3423" s="3"/>
      <c r="F3423" s="19"/>
      <c r="G3423" s="19"/>
      <c r="N3423" s="19"/>
      <c r="P3423" s="19"/>
      <c r="AL3423" s="19"/>
    </row>
    <row r="3424" spans="1:38" s="11" customFormat="1" x14ac:dyDescent="0.25">
      <c r="A3424" s="3"/>
      <c r="F3424" s="19"/>
      <c r="G3424" s="19"/>
      <c r="N3424" s="19"/>
      <c r="P3424" s="19"/>
      <c r="AL3424" s="19"/>
    </row>
    <row r="3425" spans="1:38" s="11" customFormat="1" x14ac:dyDescent="0.25">
      <c r="A3425" s="3"/>
      <c r="F3425" s="19"/>
      <c r="G3425" s="19"/>
      <c r="N3425" s="19"/>
      <c r="P3425" s="19"/>
      <c r="AL3425" s="19"/>
    </row>
    <row r="3426" spans="1:38" s="11" customFormat="1" x14ac:dyDescent="0.25">
      <c r="A3426" s="3"/>
      <c r="F3426" s="19"/>
      <c r="G3426" s="19"/>
      <c r="N3426" s="19"/>
      <c r="P3426" s="19"/>
      <c r="AL3426" s="19"/>
    </row>
    <row r="3427" spans="1:38" s="11" customFormat="1" x14ac:dyDescent="0.25">
      <c r="A3427" s="3"/>
      <c r="F3427" s="19"/>
      <c r="G3427" s="19"/>
      <c r="N3427" s="19"/>
      <c r="P3427" s="19"/>
      <c r="AL3427" s="19"/>
    </row>
    <row r="3428" spans="1:38" s="11" customFormat="1" x14ac:dyDescent="0.25">
      <c r="A3428" s="3"/>
      <c r="F3428" s="19"/>
      <c r="G3428" s="19"/>
      <c r="N3428" s="19"/>
      <c r="P3428" s="19"/>
      <c r="AL3428" s="19"/>
    </row>
    <row r="3429" spans="1:38" s="11" customFormat="1" x14ac:dyDescent="0.25">
      <c r="A3429" s="3"/>
      <c r="F3429" s="19"/>
      <c r="G3429" s="19"/>
      <c r="N3429" s="19"/>
      <c r="P3429" s="19"/>
      <c r="AL3429" s="19"/>
    </row>
    <row r="3430" spans="1:38" s="11" customFormat="1" x14ac:dyDescent="0.25">
      <c r="A3430" s="3"/>
      <c r="F3430" s="19"/>
      <c r="G3430" s="19"/>
      <c r="N3430" s="19"/>
      <c r="P3430" s="19"/>
      <c r="AL3430" s="19"/>
    </row>
    <row r="3431" spans="1:38" s="11" customFormat="1" x14ac:dyDescent="0.25">
      <c r="A3431" s="3"/>
      <c r="F3431" s="19"/>
      <c r="G3431" s="19"/>
      <c r="N3431" s="19"/>
      <c r="P3431" s="19"/>
      <c r="AL3431" s="19"/>
    </row>
    <row r="3432" spans="1:38" s="11" customFormat="1" x14ac:dyDescent="0.25">
      <c r="A3432" s="3"/>
      <c r="F3432" s="19"/>
      <c r="G3432" s="19"/>
      <c r="N3432" s="19"/>
      <c r="P3432" s="19"/>
      <c r="AL3432" s="19"/>
    </row>
    <row r="3433" spans="1:38" s="11" customFormat="1" x14ac:dyDescent="0.25">
      <c r="A3433" s="3"/>
      <c r="F3433" s="19"/>
      <c r="G3433" s="19"/>
      <c r="N3433" s="19"/>
      <c r="P3433" s="19"/>
      <c r="AL3433" s="19"/>
    </row>
    <row r="3434" spans="1:38" s="11" customFormat="1" x14ac:dyDescent="0.25">
      <c r="A3434" s="3"/>
      <c r="F3434" s="19"/>
      <c r="G3434" s="19"/>
      <c r="N3434" s="19"/>
      <c r="P3434" s="19"/>
      <c r="AL3434" s="19"/>
    </row>
    <row r="3435" spans="1:38" s="11" customFormat="1" x14ac:dyDescent="0.25">
      <c r="A3435" s="3"/>
      <c r="F3435" s="19"/>
      <c r="G3435" s="19"/>
      <c r="N3435" s="19"/>
      <c r="P3435" s="19"/>
      <c r="AL3435" s="19"/>
    </row>
    <row r="3436" spans="1:38" s="11" customFormat="1" x14ac:dyDescent="0.25">
      <c r="A3436" s="3"/>
      <c r="F3436" s="19"/>
      <c r="G3436" s="19"/>
      <c r="N3436" s="19"/>
      <c r="P3436" s="19"/>
      <c r="AL3436" s="19"/>
    </row>
    <row r="3437" spans="1:38" s="11" customFormat="1" x14ac:dyDescent="0.25">
      <c r="A3437" s="3"/>
      <c r="F3437" s="19"/>
      <c r="G3437" s="19"/>
      <c r="N3437" s="19"/>
      <c r="P3437" s="19"/>
      <c r="AL3437" s="19"/>
    </row>
    <row r="3438" spans="1:38" s="11" customFormat="1" x14ac:dyDescent="0.25">
      <c r="A3438" s="3"/>
      <c r="F3438" s="19"/>
      <c r="G3438" s="19"/>
      <c r="N3438" s="19"/>
      <c r="P3438" s="19"/>
      <c r="AL3438" s="19"/>
    </row>
    <row r="3439" spans="1:38" s="11" customFormat="1" x14ac:dyDescent="0.25">
      <c r="A3439" s="3"/>
      <c r="F3439" s="19"/>
      <c r="G3439" s="19"/>
      <c r="N3439" s="19"/>
      <c r="P3439" s="19"/>
      <c r="AL3439" s="19"/>
    </row>
    <row r="3440" spans="1:38" s="11" customFormat="1" x14ac:dyDescent="0.25">
      <c r="A3440" s="3"/>
      <c r="F3440" s="19"/>
      <c r="G3440" s="19"/>
      <c r="N3440" s="19"/>
      <c r="P3440" s="19"/>
      <c r="AL3440" s="19"/>
    </row>
    <row r="3441" spans="1:38" s="11" customFormat="1" x14ac:dyDescent="0.25">
      <c r="A3441" s="3"/>
      <c r="F3441" s="19"/>
      <c r="G3441" s="19"/>
      <c r="N3441" s="19"/>
      <c r="P3441" s="19"/>
      <c r="AL3441" s="19"/>
    </row>
    <row r="3442" spans="1:38" s="11" customFormat="1" x14ac:dyDescent="0.25">
      <c r="A3442" s="3"/>
      <c r="F3442" s="19"/>
      <c r="G3442" s="19"/>
      <c r="N3442" s="19"/>
      <c r="P3442" s="19"/>
      <c r="AL3442" s="19"/>
    </row>
    <row r="3443" spans="1:38" s="11" customFormat="1" x14ac:dyDescent="0.25">
      <c r="A3443" s="3"/>
      <c r="F3443" s="19"/>
      <c r="G3443" s="19"/>
      <c r="N3443" s="19"/>
      <c r="P3443" s="19"/>
      <c r="AL3443" s="19"/>
    </row>
    <row r="3444" spans="1:38" s="11" customFormat="1" x14ac:dyDescent="0.25">
      <c r="A3444" s="3"/>
      <c r="F3444" s="19"/>
      <c r="G3444" s="19"/>
      <c r="N3444" s="19"/>
      <c r="P3444" s="19"/>
      <c r="AL3444" s="19"/>
    </row>
    <row r="3445" spans="1:38" s="11" customFormat="1" x14ac:dyDescent="0.25">
      <c r="A3445" s="3"/>
      <c r="F3445" s="19"/>
      <c r="G3445" s="19"/>
      <c r="N3445" s="19"/>
      <c r="P3445" s="19"/>
      <c r="AL3445" s="19"/>
    </row>
    <row r="3446" spans="1:38" s="11" customFormat="1" x14ac:dyDescent="0.25">
      <c r="A3446" s="3"/>
      <c r="F3446" s="19"/>
      <c r="G3446" s="19"/>
      <c r="N3446" s="19"/>
      <c r="P3446" s="19"/>
      <c r="AL3446" s="19"/>
    </row>
    <row r="3447" spans="1:38" s="11" customFormat="1" x14ac:dyDescent="0.25">
      <c r="A3447" s="3"/>
      <c r="F3447" s="19"/>
      <c r="G3447" s="19"/>
      <c r="N3447" s="19"/>
      <c r="P3447" s="19"/>
      <c r="AL3447" s="19"/>
    </row>
    <row r="3448" spans="1:38" s="11" customFormat="1" x14ac:dyDescent="0.25">
      <c r="A3448" s="3"/>
      <c r="F3448" s="19"/>
      <c r="G3448" s="19"/>
      <c r="N3448" s="19"/>
      <c r="P3448" s="19"/>
      <c r="AL3448" s="19"/>
    </row>
    <row r="3449" spans="1:38" s="11" customFormat="1" x14ac:dyDescent="0.25">
      <c r="A3449" s="3"/>
      <c r="F3449" s="19"/>
      <c r="G3449" s="19"/>
      <c r="N3449" s="19"/>
      <c r="P3449" s="19"/>
      <c r="AL3449" s="19"/>
    </row>
    <row r="3450" spans="1:38" s="11" customFormat="1" x14ac:dyDescent="0.25">
      <c r="A3450" s="3"/>
      <c r="F3450" s="19"/>
      <c r="G3450" s="19"/>
      <c r="N3450" s="19"/>
      <c r="P3450" s="19"/>
      <c r="AL3450" s="19"/>
    </row>
    <row r="3451" spans="1:38" s="11" customFormat="1" x14ac:dyDescent="0.25">
      <c r="A3451" s="3"/>
      <c r="F3451" s="19"/>
      <c r="G3451" s="19"/>
      <c r="N3451" s="19"/>
      <c r="P3451" s="19"/>
      <c r="AL3451" s="19"/>
    </row>
    <row r="3452" spans="1:38" s="11" customFormat="1" x14ac:dyDescent="0.25">
      <c r="A3452" s="3"/>
      <c r="F3452" s="19"/>
      <c r="G3452" s="19"/>
      <c r="N3452" s="19"/>
      <c r="P3452" s="19"/>
      <c r="AL3452" s="19"/>
    </row>
    <row r="3453" spans="1:38" s="11" customFormat="1" x14ac:dyDescent="0.25">
      <c r="A3453" s="3"/>
      <c r="F3453" s="19"/>
      <c r="G3453" s="19"/>
      <c r="N3453" s="19"/>
      <c r="P3453" s="19"/>
      <c r="AL3453" s="19"/>
    </row>
    <row r="3454" spans="1:38" s="11" customFormat="1" x14ac:dyDescent="0.25">
      <c r="A3454" s="3"/>
      <c r="F3454" s="19"/>
      <c r="G3454" s="19"/>
      <c r="N3454" s="19"/>
      <c r="P3454" s="19"/>
      <c r="AL3454" s="19"/>
    </row>
    <row r="3455" spans="1:38" s="11" customFormat="1" x14ac:dyDescent="0.25">
      <c r="A3455" s="3"/>
      <c r="F3455" s="19"/>
      <c r="G3455" s="19"/>
      <c r="N3455" s="19"/>
      <c r="P3455" s="19"/>
      <c r="AL3455" s="19"/>
    </row>
    <row r="3456" spans="1:38" s="11" customFormat="1" x14ac:dyDescent="0.25">
      <c r="A3456" s="3"/>
      <c r="F3456" s="19"/>
      <c r="G3456" s="19"/>
      <c r="N3456" s="19"/>
      <c r="P3456" s="19"/>
      <c r="AL3456" s="19"/>
    </row>
    <row r="3457" spans="1:38" s="11" customFormat="1" x14ac:dyDescent="0.25">
      <c r="A3457" s="3"/>
      <c r="F3457" s="19"/>
      <c r="G3457" s="19"/>
      <c r="N3457" s="19"/>
      <c r="P3457" s="19"/>
      <c r="AL3457" s="19"/>
    </row>
    <row r="3458" spans="1:38" s="11" customFormat="1" x14ac:dyDescent="0.25">
      <c r="A3458" s="3"/>
      <c r="F3458" s="19"/>
      <c r="G3458" s="19"/>
      <c r="N3458" s="19"/>
      <c r="P3458" s="19"/>
      <c r="AL3458" s="19"/>
    </row>
    <row r="3459" spans="1:38" s="11" customFormat="1" x14ac:dyDescent="0.25">
      <c r="A3459" s="3"/>
      <c r="F3459" s="19"/>
      <c r="G3459" s="19"/>
      <c r="N3459" s="19"/>
      <c r="P3459" s="19"/>
      <c r="AL3459" s="19"/>
    </row>
    <row r="3460" spans="1:38" s="11" customFormat="1" x14ac:dyDescent="0.25">
      <c r="A3460" s="3"/>
      <c r="F3460" s="19"/>
      <c r="G3460" s="19"/>
      <c r="N3460" s="19"/>
      <c r="P3460" s="19"/>
      <c r="AL3460" s="19"/>
    </row>
    <row r="3461" spans="1:38" s="11" customFormat="1" x14ac:dyDescent="0.25">
      <c r="A3461" s="3"/>
      <c r="F3461" s="19"/>
      <c r="G3461" s="19"/>
      <c r="N3461" s="19"/>
      <c r="P3461" s="19"/>
      <c r="AL3461" s="19"/>
    </row>
    <row r="3462" spans="1:38" s="11" customFormat="1" x14ac:dyDescent="0.25">
      <c r="A3462" s="3"/>
      <c r="F3462" s="19"/>
      <c r="G3462" s="19"/>
      <c r="N3462" s="19"/>
      <c r="P3462" s="19"/>
      <c r="AL3462" s="19"/>
    </row>
    <row r="3463" spans="1:38" s="11" customFormat="1" x14ac:dyDescent="0.25">
      <c r="A3463" s="3"/>
      <c r="F3463" s="19"/>
      <c r="G3463" s="19"/>
      <c r="N3463" s="19"/>
      <c r="P3463" s="19"/>
      <c r="AL3463" s="19"/>
    </row>
    <row r="3464" spans="1:38" s="11" customFormat="1" x14ac:dyDescent="0.25">
      <c r="A3464" s="3"/>
      <c r="F3464" s="19"/>
      <c r="G3464" s="19"/>
      <c r="N3464" s="19"/>
      <c r="P3464" s="19"/>
      <c r="AL3464" s="19"/>
    </row>
    <row r="3465" spans="1:38" s="11" customFormat="1" x14ac:dyDescent="0.25">
      <c r="A3465" s="3"/>
      <c r="F3465" s="19"/>
      <c r="G3465" s="19"/>
      <c r="N3465" s="19"/>
      <c r="P3465" s="19"/>
      <c r="AL3465" s="19"/>
    </row>
    <row r="3466" spans="1:38" s="11" customFormat="1" x14ac:dyDescent="0.25">
      <c r="A3466" s="3"/>
      <c r="F3466" s="19"/>
      <c r="G3466" s="19"/>
      <c r="N3466" s="19"/>
      <c r="P3466" s="19"/>
      <c r="AL3466" s="19"/>
    </row>
    <row r="3467" spans="1:38" s="11" customFormat="1" x14ac:dyDescent="0.25">
      <c r="A3467" s="3"/>
      <c r="F3467" s="19"/>
      <c r="G3467" s="19"/>
      <c r="N3467" s="19"/>
      <c r="P3467" s="19"/>
      <c r="AL3467" s="19"/>
    </row>
    <row r="3468" spans="1:38" s="11" customFormat="1" x14ac:dyDescent="0.25">
      <c r="A3468" s="3"/>
      <c r="F3468" s="19"/>
      <c r="G3468" s="19"/>
      <c r="N3468" s="19"/>
      <c r="P3468" s="19"/>
      <c r="AL3468" s="19"/>
    </row>
    <row r="3469" spans="1:38" s="11" customFormat="1" x14ac:dyDescent="0.25">
      <c r="A3469" s="3"/>
      <c r="F3469" s="19"/>
      <c r="G3469" s="19"/>
      <c r="N3469" s="19"/>
      <c r="P3469" s="19"/>
      <c r="AL3469" s="19"/>
    </row>
    <row r="3470" spans="1:38" s="11" customFormat="1" x14ac:dyDescent="0.25">
      <c r="A3470" s="3"/>
      <c r="F3470" s="19"/>
      <c r="G3470" s="19"/>
      <c r="N3470" s="19"/>
      <c r="P3470" s="19"/>
      <c r="AL3470" s="19"/>
    </row>
    <row r="3471" spans="1:38" s="11" customFormat="1" x14ac:dyDescent="0.25">
      <c r="A3471" s="3"/>
      <c r="F3471" s="19"/>
      <c r="G3471" s="19"/>
      <c r="N3471" s="19"/>
      <c r="P3471" s="19"/>
      <c r="AL3471" s="19"/>
    </row>
    <row r="3472" spans="1:38" s="11" customFormat="1" x14ac:dyDescent="0.25">
      <c r="A3472" s="3"/>
      <c r="F3472" s="19"/>
      <c r="G3472" s="19"/>
      <c r="N3472" s="19"/>
      <c r="P3472" s="19"/>
      <c r="AL3472" s="19"/>
    </row>
    <row r="3473" spans="1:38" s="11" customFormat="1" x14ac:dyDescent="0.25">
      <c r="A3473" s="3"/>
      <c r="F3473" s="19"/>
      <c r="G3473" s="19"/>
      <c r="N3473" s="19"/>
      <c r="P3473" s="19"/>
      <c r="AL3473" s="19"/>
    </row>
    <row r="3474" spans="1:38" s="11" customFormat="1" x14ac:dyDescent="0.25">
      <c r="A3474" s="3"/>
      <c r="F3474" s="19"/>
      <c r="G3474" s="19"/>
      <c r="N3474" s="19"/>
      <c r="P3474" s="19"/>
      <c r="AL3474" s="19"/>
    </row>
    <row r="3475" spans="1:38" s="11" customFormat="1" x14ac:dyDescent="0.25">
      <c r="A3475" s="3"/>
      <c r="F3475" s="19"/>
      <c r="G3475" s="19"/>
      <c r="N3475" s="19"/>
      <c r="P3475" s="19"/>
      <c r="AL3475" s="19"/>
    </row>
    <row r="3476" spans="1:38" s="11" customFormat="1" x14ac:dyDescent="0.25">
      <c r="A3476" s="3"/>
      <c r="F3476" s="19"/>
      <c r="G3476" s="19"/>
      <c r="N3476" s="19"/>
      <c r="P3476" s="19"/>
      <c r="AL3476" s="19"/>
    </row>
    <row r="3477" spans="1:38" s="11" customFormat="1" x14ac:dyDescent="0.25">
      <c r="A3477" s="3"/>
      <c r="F3477" s="19"/>
      <c r="G3477" s="19"/>
      <c r="N3477" s="19"/>
      <c r="P3477" s="19"/>
      <c r="AL3477" s="19"/>
    </row>
    <row r="3478" spans="1:38" s="11" customFormat="1" x14ac:dyDescent="0.25">
      <c r="A3478" s="3"/>
      <c r="F3478" s="19"/>
      <c r="G3478" s="19"/>
      <c r="N3478" s="19"/>
      <c r="P3478" s="19"/>
      <c r="AL3478" s="19"/>
    </row>
    <row r="3479" spans="1:38" s="11" customFormat="1" x14ac:dyDescent="0.25">
      <c r="A3479" s="3"/>
      <c r="F3479" s="19"/>
      <c r="G3479" s="19"/>
      <c r="N3479" s="19"/>
      <c r="P3479" s="19"/>
      <c r="AL3479" s="19"/>
    </row>
    <row r="3480" spans="1:38" s="11" customFormat="1" x14ac:dyDescent="0.25">
      <c r="A3480" s="3"/>
      <c r="F3480" s="19"/>
      <c r="G3480" s="19"/>
      <c r="N3480" s="19"/>
      <c r="P3480" s="19"/>
      <c r="AL3480" s="19"/>
    </row>
    <row r="3481" spans="1:38" s="11" customFormat="1" x14ac:dyDescent="0.25">
      <c r="A3481" s="3"/>
      <c r="F3481" s="19"/>
      <c r="G3481" s="19"/>
      <c r="N3481" s="19"/>
      <c r="P3481" s="19"/>
      <c r="AL3481" s="19"/>
    </row>
    <row r="3482" spans="1:38" s="11" customFormat="1" x14ac:dyDescent="0.25">
      <c r="A3482" s="3"/>
      <c r="F3482" s="19"/>
      <c r="G3482" s="19"/>
      <c r="N3482" s="19"/>
      <c r="P3482" s="19"/>
      <c r="AL3482" s="19"/>
    </row>
    <row r="3483" spans="1:38" s="11" customFormat="1" x14ac:dyDescent="0.25">
      <c r="A3483" s="3"/>
      <c r="F3483" s="19"/>
      <c r="G3483" s="19"/>
      <c r="N3483" s="19"/>
      <c r="P3483" s="19"/>
      <c r="AL3483" s="19"/>
    </row>
    <row r="3484" spans="1:38" s="11" customFormat="1" x14ac:dyDescent="0.25">
      <c r="A3484" s="3"/>
      <c r="F3484" s="19"/>
      <c r="G3484" s="19"/>
      <c r="N3484" s="19"/>
      <c r="P3484" s="19"/>
      <c r="AL3484" s="19"/>
    </row>
    <row r="3485" spans="1:38" s="11" customFormat="1" x14ac:dyDescent="0.25">
      <c r="A3485" s="3"/>
      <c r="F3485" s="19"/>
      <c r="G3485" s="19"/>
      <c r="N3485" s="19"/>
      <c r="P3485" s="19"/>
      <c r="AL3485" s="19"/>
    </row>
    <row r="3486" spans="1:38" s="11" customFormat="1" x14ac:dyDescent="0.25">
      <c r="A3486" s="3"/>
      <c r="F3486" s="19"/>
      <c r="G3486" s="19"/>
      <c r="N3486" s="19"/>
      <c r="P3486" s="19"/>
      <c r="AL3486" s="19"/>
    </row>
    <row r="3487" spans="1:38" s="11" customFormat="1" x14ac:dyDescent="0.25">
      <c r="A3487" s="3"/>
      <c r="F3487" s="19"/>
      <c r="G3487" s="19"/>
      <c r="N3487" s="19"/>
      <c r="P3487" s="19"/>
      <c r="AL3487" s="19"/>
    </row>
    <row r="3488" spans="1:38" s="11" customFormat="1" x14ac:dyDescent="0.25">
      <c r="A3488" s="3"/>
      <c r="F3488" s="19"/>
      <c r="G3488" s="19"/>
      <c r="N3488" s="19"/>
      <c r="P3488" s="19"/>
      <c r="AL3488" s="19"/>
    </row>
    <row r="3489" spans="1:38" s="11" customFormat="1" x14ac:dyDescent="0.25">
      <c r="A3489" s="3"/>
      <c r="F3489" s="19"/>
      <c r="G3489" s="19"/>
      <c r="N3489" s="19"/>
      <c r="P3489" s="19"/>
      <c r="AL3489" s="19"/>
    </row>
    <row r="3490" spans="1:38" s="11" customFormat="1" x14ac:dyDescent="0.25">
      <c r="A3490" s="3"/>
      <c r="F3490" s="19"/>
      <c r="G3490" s="19"/>
      <c r="N3490" s="19"/>
      <c r="P3490" s="19"/>
      <c r="AL3490" s="19"/>
    </row>
    <row r="3491" spans="1:38" s="11" customFormat="1" x14ac:dyDescent="0.25">
      <c r="A3491" s="3"/>
      <c r="F3491" s="19"/>
      <c r="G3491" s="19"/>
      <c r="N3491" s="19"/>
      <c r="P3491" s="19"/>
      <c r="AL3491" s="19"/>
    </row>
    <row r="3492" spans="1:38" s="11" customFormat="1" x14ac:dyDescent="0.25">
      <c r="A3492" s="3"/>
      <c r="F3492" s="19"/>
      <c r="G3492" s="19"/>
      <c r="N3492" s="19"/>
      <c r="P3492" s="19"/>
      <c r="AL3492" s="19"/>
    </row>
    <row r="3493" spans="1:38" s="11" customFormat="1" x14ac:dyDescent="0.25">
      <c r="A3493" s="3"/>
      <c r="F3493" s="19"/>
      <c r="G3493" s="19"/>
      <c r="N3493" s="19"/>
      <c r="P3493" s="19"/>
      <c r="AL3493" s="19"/>
    </row>
    <row r="3494" spans="1:38" s="11" customFormat="1" x14ac:dyDescent="0.25">
      <c r="A3494" s="3"/>
      <c r="F3494" s="19"/>
      <c r="G3494" s="19"/>
      <c r="N3494" s="19"/>
      <c r="P3494" s="19"/>
      <c r="AL3494" s="19"/>
    </row>
    <row r="3495" spans="1:38" s="11" customFormat="1" x14ac:dyDescent="0.25">
      <c r="A3495" s="3"/>
      <c r="F3495" s="19"/>
      <c r="G3495" s="19"/>
      <c r="N3495" s="19"/>
      <c r="P3495" s="19"/>
      <c r="AL3495" s="19"/>
    </row>
    <row r="3496" spans="1:38" s="11" customFormat="1" x14ac:dyDescent="0.25">
      <c r="A3496" s="3"/>
      <c r="F3496" s="19"/>
      <c r="G3496" s="19"/>
      <c r="N3496" s="19"/>
      <c r="P3496" s="19"/>
      <c r="AL3496" s="19"/>
    </row>
    <row r="3497" spans="1:38" s="11" customFormat="1" x14ac:dyDescent="0.25">
      <c r="A3497" s="3"/>
      <c r="F3497" s="19"/>
      <c r="G3497" s="19"/>
      <c r="N3497" s="19"/>
      <c r="P3497" s="19"/>
      <c r="AL3497" s="19"/>
    </row>
    <row r="3498" spans="1:38" s="11" customFormat="1" x14ac:dyDescent="0.25">
      <c r="A3498" s="3"/>
      <c r="F3498" s="19"/>
      <c r="G3498" s="19"/>
      <c r="N3498" s="19"/>
      <c r="P3498" s="19"/>
      <c r="AL3498" s="19"/>
    </row>
    <row r="3499" spans="1:38" s="11" customFormat="1" x14ac:dyDescent="0.25">
      <c r="A3499" s="3"/>
      <c r="F3499" s="19"/>
      <c r="G3499" s="19"/>
      <c r="N3499" s="19"/>
      <c r="P3499" s="19"/>
      <c r="AL3499" s="19"/>
    </row>
    <row r="3500" spans="1:38" s="11" customFormat="1" x14ac:dyDescent="0.25">
      <c r="A3500" s="3"/>
      <c r="F3500" s="19"/>
      <c r="G3500" s="19"/>
      <c r="N3500" s="19"/>
      <c r="P3500" s="19"/>
      <c r="AL3500" s="19"/>
    </row>
    <row r="3501" spans="1:38" s="11" customFormat="1" x14ac:dyDescent="0.25">
      <c r="A3501" s="3"/>
      <c r="F3501" s="19"/>
      <c r="G3501" s="19"/>
      <c r="N3501" s="19"/>
      <c r="P3501" s="19"/>
      <c r="AL3501" s="19"/>
    </row>
    <row r="3502" spans="1:38" s="11" customFormat="1" x14ac:dyDescent="0.25">
      <c r="A3502" s="3"/>
      <c r="F3502" s="19"/>
      <c r="G3502" s="19"/>
      <c r="N3502" s="19"/>
      <c r="P3502" s="19"/>
      <c r="AL3502" s="19"/>
    </row>
    <row r="3503" spans="1:38" s="11" customFormat="1" x14ac:dyDescent="0.25">
      <c r="A3503" s="3"/>
      <c r="F3503" s="19"/>
      <c r="G3503" s="19"/>
      <c r="N3503" s="19"/>
      <c r="P3503" s="19"/>
      <c r="AL3503" s="19"/>
    </row>
    <row r="3504" spans="1:38" s="11" customFormat="1" x14ac:dyDescent="0.25">
      <c r="A3504" s="3"/>
      <c r="F3504" s="19"/>
      <c r="G3504" s="19"/>
      <c r="N3504" s="19"/>
      <c r="P3504" s="19"/>
      <c r="AL3504" s="19"/>
    </row>
    <row r="3505" spans="1:38" s="11" customFormat="1" x14ac:dyDescent="0.25">
      <c r="A3505" s="3"/>
      <c r="F3505" s="19"/>
      <c r="G3505" s="19"/>
      <c r="N3505" s="19"/>
      <c r="P3505" s="19"/>
      <c r="AL3505" s="19"/>
    </row>
    <row r="3506" spans="1:38" s="11" customFormat="1" x14ac:dyDescent="0.25">
      <c r="A3506" s="3"/>
      <c r="F3506" s="19"/>
      <c r="G3506" s="19"/>
      <c r="N3506" s="19"/>
      <c r="P3506" s="19"/>
      <c r="AL3506" s="19"/>
    </row>
    <row r="3507" spans="1:38" s="11" customFormat="1" x14ac:dyDescent="0.25">
      <c r="A3507" s="3"/>
      <c r="F3507" s="19"/>
      <c r="G3507" s="19"/>
      <c r="N3507" s="19"/>
      <c r="P3507" s="19"/>
      <c r="AL3507" s="19"/>
    </row>
    <row r="3508" spans="1:38" s="11" customFormat="1" x14ac:dyDescent="0.25">
      <c r="A3508" s="3"/>
      <c r="F3508" s="19"/>
      <c r="G3508" s="19"/>
      <c r="N3508" s="19"/>
      <c r="P3508" s="19"/>
      <c r="AL3508" s="19"/>
    </row>
    <row r="3509" spans="1:38" s="11" customFormat="1" x14ac:dyDescent="0.25">
      <c r="A3509" s="3"/>
      <c r="F3509" s="19"/>
      <c r="G3509" s="19"/>
      <c r="N3509" s="19"/>
      <c r="P3509" s="19"/>
      <c r="AL3509" s="19"/>
    </row>
    <row r="3510" spans="1:38" s="11" customFormat="1" x14ac:dyDescent="0.25">
      <c r="A3510" s="3"/>
      <c r="F3510" s="19"/>
      <c r="G3510" s="19"/>
      <c r="N3510" s="19"/>
      <c r="P3510" s="19"/>
      <c r="AL3510" s="19"/>
    </row>
    <row r="3511" spans="1:38" s="11" customFormat="1" x14ac:dyDescent="0.25">
      <c r="A3511" s="3"/>
      <c r="F3511" s="19"/>
      <c r="G3511" s="19"/>
      <c r="N3511" s="19"/>
      <c r="P3511" s="19"/>
      <c r="AL3511" s="19"/>
    </row>
    <row r="3512" spans="1:38" s="11" customFormat="1" x14ac:dyDescent="0.25">
      <c r="A3512" s="3"/>
      <c r="F3512" s="19"/>
      <c r="G3512" s="19"/>
      <c r="N3512" s="19"/>
      <c r="P3512" s="19"/>
      <c r="AL3512" s="19"/>
    </row>
    <row r="3513" spans="1:38" s="11" customFormat="1" x14ac:dyDescent="0.25">
      <c r="A3513" s="3"/>
      <c r="F3513" s="19"/>
      <c r="G3513" s="19"/>
      <c r="N3513" s="19"/>
      <c r="P3513" s="19"/>
      <c r="AL3513" s="19"/>
    </row>
    <row r="3514" spans="1:38" s="11" customFormat="1" x14ac:dyDescent="0.25">
      <c r="A3514" s="3"/>
      <c r="F3514" s="19"/>
      <c r="G3514" s="19"/>
      <c r="N3514" s="19"/>
      <c r="P3514" s="19"/>
      <c r="AL3514" s="19"/>
    </row>
    <row r="3515" spans="1:38" s="11" customFormat="1" x14ac:dyDescent="0.25">
      <c r="A3515" s="3"/>
      <c r="F3515" s="19"/>
      <c r="G3515" s="19"/>
      <c r="N3515" s="19"/>
      <c r="P3515" s="19"/>
      <c r="AL3515" s="19"/>
    </row>
    <row r="3516" spans="1:38" s="11" customFormat="1" x14ac:dyDescent="0.25">
      <c r="A3516" s="3"/>
      <c r="F3516" s="19"/>
      <c r="G3516" s="19"/>
      <c r="N3516" s="19"/>
      <c r="P3516" s="19"/>
      <c r="AL3516" s="19"/>
    </row>
    <row r="3517" spans="1:38" s="11" customFormat="1" x14ac:dyDescent="0.25">
      <c r="A3517" s="3"/>
      <c r="F3517" s="19"/>
      <c r="G3517" s="19"/>
      <c r="N3517" s="19"/>
      <c r="P3517" s="19"/>
      <c r="AL3517" s="19"/>
    </row>
    <row r="3518" spans="1:38" s="11" customFormat="1" x14ac:dyDescent="0.25">
      <c r="A3518" s="3"/>
      <c r="F3518" s="19"/>
      <c r="G3518" s="19"/>
      <c r="N3518" s="19"/>
      <c r="P3518" s="19"/>
      <c r="AL3518" s="19"/>
    </row>
    <row r="3519" spans="1:38" s="11" customFormat="1" x14ac:dyDescent="0.25">
      <c r="A3519" s="3"/>
      <c r="F3519" s="19"/>
      <c r="G3519" s="19"/>
      <c r="N3519" s="19"/>
      <c r="P3519" s="19"/>
      <c r="AL3519" s="19"/>
    </row>
    <row r="3520" spans="1:38" s="11" customFormat="1" x14ac:dyDescent="0.25">
      <c r="A3520" s="3"/>
      <c r="F3520" s="19"/>
      <c r="G3520" s="19"/>
      <c r="N3520" s="19"/>
      <c r="P3520" s="19"/>
      <c r="AL3520" s="19"/>
    </row>
    <row r="3521" spans="1:38" s="11" customFormat="1" x14ac:dyDescent="0.25">
      <c r="A3521" s="3"/>
      <c r="F3521" s="19"/>
      <c r="G3521" s="19"/>
      <c r="N3521" s="19"/>
      <c r="P3521" s="19"/>
      <c r="AL3521" s="19"/>
    </row>
    <row r="3522" spans="1:38" s="11" customFormat="1" x14ac:dyDescent="0.25">
      <c r="A3522" s="3"/>
      <c r="F3522" s="19"/>
      <c r="G3522" s="19"/>
      <c r="N3522" s="19"/>
      <c r="P3522" s="19"/>
      <c r="AL3522" s="19"/>
    </row>
    <row r="3523" spans="1:38" s="11" customFormat="1" x14ac:dyDescent="0.25">
      <c r="A3523" s="3"/>
      <c r="F3523" s="19"/>
      <c r="G3523" s="19"/>
      <c r="N3523" s="19"/>
      <c r="P3523" s="19"/>
      <c r="AL3523" s="19"/>
    </row>
    <row r="3524" spans="1:38" s="11" customFormat="1" x14ac:dyDescent="0.25">
      <c r="A3524" s="3"/>
      <c r="F3524" s="19"/>
      <c r="G3524" s="19"/>
      <c r="N3524" s="19"/>
      <c r="P3524" s="19"/>
      <c r="AL3524" s="19"/>
    </row>
    <row r="3525" spans="1:38" s="11" customFormat="1" x14ac:dyDescent="0.25">
      <c r="A3525" s="3"/>
      <c r="F3525" s="19"/>
      <c r="G3525" s="19"/>
      <c r="N3525" s="19"/>
      <c r="P3525" s="19"/>
      <c r="AL3525" s="19"/>
    </row>
    <row r="3526" spans="1:38" s="11" customFormat="1" x14ac:dyDescent="0.25">
      <c r="A3526" s="3"/>
      <c r="F3526" s="19"/>
      <c r="G3526" s="19"/>
      <c r="N3526" s="19"/>
      <c r="P3526" s="19"/>
      <c r="AL3526" s="19"/>
    </row>
    <row r="3527" spans="1:38" s="11" customFormat="1" x14ac:dyDescent="0.25">
      <c r="A3527" s="3"/>
      <c r="F3527" s="19"/>
      <c r="G3527" s="19"/>
      <c r="N3527" s="19"/>
      <c r="P3527" s="19"/>
      <c r="AL3527" s="19"/>
    </row>
    <row r="3528" spans="1:38" s="11" customFormat="1" x14ac:dyDescent="0.25">
      <c r="A3528" s="3"/>
      <c r="F3528" s="19"/>
      <c r="G3528" s="19"/>
      <c r="N3528" s="19"/>
      <c r="P3528" s="19"/>
      <c r="AL3528" s="19"/>
    </row>
    <row r="3529" spans="1:38" s="11" customFormat="1" x14ac:dyDescent="0.25">
      <c r="A3529" s="3"/>
      <c r="F3529" s="19"/>
      <c r="G3529" s="19"/>
      <c r="N3529" s="19"/>
      <c r="P3529" s="19"/>
      <c r="AL3529" s="19"/>
    </row>
    <row r="3530" spans="1:38" s="11" customFormat="1" x14ac:dyDescent="0.25">
      <c r="A3530" s="3"/>
      <c r="F3530" s="19"/>
      <c r="G3530" s="19"/>
      <c r="N3530" s="19"/>
      <c r="P3530" s="19"/>
      <c r="AL3530" s="19"/>
    </row>
    <row r="3531" spans="1:38" s="11" customFormat="1" x14ac:dyDescent="0.25">
      <c r="A3531" s="3"/>
      <c r="F3531" s="19"/>
      <c r="G3531" s="19"/>
      <c r="N3531" s="19"/>
      <c r="P3531" s="19"/>
      <c r="AL3531" s="19"/>
    </row>
    <row r="3532" spans="1:38" s="11" customFormat="1" x14ac:dyDescent="0.25">
      <c r="A3532" s="3"/>
      <c r="F3532" s="19"/>
      <c r="G3532" s="19"/>
      <c r="N3532" s="19"/>
      <c r="P3532" s="19"/>
      <c r="AL3532" s="19"/>
    </row>
    <row r="3533" spans="1:38" s="11" customFormat="1" x14ac:dyDescent="0.25">
      <c r="A3533" s="3"/>
      <c r="F3533" s="19"/>
      <c r="G3533" s="19"/>
      <c r="N3533" s="19"/>
      <c r="P3533" s="19"/>
      <c r="AL3533" s="19"/>
    </row>
    <row r="3534" spans="1:38" s="11" customFormat="1" x14ac:dyDescent="0.25">
      <c r="A3534" s="3"/>
      <c r="F3534" s="19"/>
      <c r="G3534" s="19"/>
      <c r="N3534" s="19"/>
      <c r="P3534" s="19"/>
      <c r="AL3534" s="19"/>
    </row>
    <row r="3535" spans="1:38" s="11" customFormat="1" x14ac:dyDescent="0.25">
      <c r="A3535" s="3"/>
      <c r="F3535" s="19"/>
      <c r="G3535" s="19"/>
      <c r="N3535" s="19"/>
      <c r="P3535" s="19"/>
      <c r="AL3535" s="19"/>
    </row>
    <row r="3536" spans="1:38" s="11" customFormat="1" x14ac:dyDescent="0.25">
      <c r="A3536" s="3"/>
      <c r="F3536" s="19"/>
      <c r="G3536" s="19"/>
      <c r="N3536" s="19"/>
      <c r="P3536" s="19"/>
      <c r="AL3536" s="19"/>
    </row>
    <row r="3537" spans="1:38" s="11" customFormat="1" x14ac:dyDescent="0.25">
      <c r="A3537" s="3"/>
      <c r="F3537" s="19"/>
      <c r="G3537" s="19"/>
      <c r="N3537" s="19"/>
      <c r="P3537" s="19"/>
      <c r="AL3537" s="19"/>
    </row>
    <row r="3538" spans="1:38" s="11" customFormat="1" x14ac:dyDescent="0.25">
      <c r="A3538" s="3"/>
      <c r="F3538" s="19"/>
      <c r="G3538" s="19"/>
      <c r="N3538" s="19"/>
      <c r="P3538" s="19"/>
      <c r="AL3538" s="19"/>
    </row>
    <row r="3539" spans="1:38" s="11" customFormat="1" x14ac:dyDescent="0.25">
      <c r="A3539" s="3"/>
      <c r="F3539" s="19"/>
      <c r="G3539" s="19"/>
      <c r="N3539" s="19"/>
      <c r="P3539" s="19"/>
      <c r="AL3539" s="19"/>
    </row>
    <row r="3540" spans="1:38" s="11" customFormat="1" x14ac:dyDescent="0.25">
      <c r="A3540" s="3"/>
      <c r="F3540" s="19"/>
      <c r="G3540" s="19"/>
      <c r="N3540" s="19"/>
      <c r="P3540" s="19"/>
      <c r="AL3540" s="19"/>
    </row>
    <row r="3541" spans="1:38" s="11" customFormat="1" x14ac:dyDescent="0.25">
      <c r="A3541" s="3"/>
      <c r="F3541" s="19"/>
      <c r="G3541" s="19"/>
      <c r="N3541" s="19"/>
      <c r="P3541" s="19"/>
      <c r="AL3541" s="19"/>
    </row>
    <row r="3542" spans="1:38" s="11" customFormat="1" x14ac:dyDescent="0.25">
      <c r="A3542" s="3"/>
      <c r="F3542" s="19"/>
      <c r="G3542" s="19"/>
      <c r="N3542" s="19"/>
      <c r="P3542" s="19"/>
      <c r="AL3542" s="19"/>
    </row>
    <row r="3543" spans="1:38" s="11" customFormat="1" x14ac:dyDescent="0.25">
      <c r="A3543" s="3"/>
      <c r="F3543" s="19"/>
      <c r="G3543" s="19"/>
      <c r="N3543" s="19"/>
      <c r="P3543" s="19"/>
      <c r="AL3543" s="19"/>
    </row>
    <row r="3544" spans="1:38" s="11" customFormat="1" x14ac:dyDescent="0.25">
      <c r="A3544" s="3"/>
      <c r="F3544" s="19"/>
      <c r="G3544" s="19"/>
      <c r="N3544" s="19"/>
      <c r="P3544" s="19"/>
      <c r="AL3544" s="19"/>
    </row>
    <row r="3545" spans="1:38" s="11" customFormat="1" x14ac:dyDescent="0.25">
      <c r="A3545" s="3"/>
      <c r="F3545" s="19"/>
      <c r="G3545" s="19"/>
      <c r="N3545" s="19"/>
      <c r="P3545" s="19"/>
      <c r="AL3545" s="19"/>
    </row>
    <row r="3546" spans="1:38" s="11" customFormat="1" x14ac:dyDescent="0.25">
      <c r="A3546" s="3"/>
      <c r="F3546" s="19"/>
      <c r="G3546" s="19"/>
      <c r="N3546" s="19"/>
      <c r="P3546" s="19"/>
      <c r="AL3546" s="19"/>
    </row>
    <row r="3547" spans="1:38" s="11" customFormat="1" x14ac:dyDescent="0.25">
      <c r="A3547" s="3"/>
      <c r="F3547" s="19"/>
      <c r="G3547" s="19"/>
      <c r="N3547" s="19"/>
      <c r="P3547" s="19"/>
      <c r="AL3547" s="19"/>
    </row>
    <row r="3548" spans="1:38" s="11" customFormat="1" x14ac:dyDescent="0.25">
      <c r="A3548" s="3"/>
      <c r="F3548" s="19"/>
      <c r="G3548" s="19"/>
      <c r="N3548" s="19"/>
      <c r="P3548" s="19"/>
      <c r="AL3548" s="19"/>
    </row>
    <row r="3549" spans="1:38" s="11" customFormat="1" x14ac:dyDescent="0.25">
      <c r="A3549" s="3"/>
      <c r="F3549" s="19"/>
      <c r="G3549" s="19"/>
      <c r="N3549" s="19"/>
      <c r="P3549" s="19"/>
      <c r="AL3549" s="19"/>
    </row>
    <row r="3550" spans="1:38" s="11" customFormat="1" x14ac:dyDescent="0.25">
      <c r="A3550" s="3"/>
      <c r="F3550" s="19"/>
      <c r="G3550" s="19"/>
      <c r="N3550" s="19"/>
      <c r="P3550" s="19"/>
      <c r="AL3550" s="19"/>
    </row>
    <row r="3551" spans="1:38" s="11" customFormat="1" x14ac:dyDescent="0.25">
      <c r="A3551" s="3"/>
      <c r="F3551" s="19"/>
      <c r="G3551" s="19"/>
      <c r="N3551" s="19"/>
      <c r="P3551" s="19"/>
      <c r="AL3551" s="19"/>
    </row>
    <row r="3552" spans="1:38" s="11" customFormat="1" x14ac:dyDescent="0.25">
      <c r="A3552" s="3"/>
      <c r="F3552" s="19"/>
      <c r="G3552" s="19"/>
      <c r="N3552" s="19"/>
      <c r="P3552" s="19"/>
      <c r="AL3552" s="19"/>
    </row>
    <row r="3553" spans="1:38" s="11" customFormat="1" x14ac:dyDescent="0.25">
      <c r="A3553" s="3"/>
      <c r="F3553" s="19"/>
      <c r="G3553" s="19"/>
      <c r="N3553" s="19"/>
      <c r="P3553" s="19"/>
      <c r="AL3553" s="19"/>
    </row>
    <row r="3554" spans="1:38" s="11" customFormat="1" x14ac:dyDescent="0.25">
      <c r="A3554" s="3"/>
      <c r="F3554" s="19"/>
      <c r="G3554" s="19"/>
      <c r="N3554" s="19"/>
      <c r="P3554" s="19"/>
      <c r="AL3554" s="19"/>
    </row>
    <row r="3555" spans="1:38" s="11" customFormat="1" x14ac:dyDescent="0.25">
      <c r="A3555" s="3"/>
      <c r="F3555" s="19"/>
      <c r="G3555" s="19"/>
      <c r="N3555" s="19"/>
      <c r="P3555" s="19"/>
      <c r="AL3555" s="19"/>
    </row>
    <row r="3556" spans="1:38" s="11" customFormat="1" x14ac:dyDescent="0.25">
      <c r="A3556" s="3"/>
      <c r="F3556" s="19"/>
      <c r="G3556" s="19"/>
      <c r="N3556" s="19"/>
      <c r="P3556" s="19"/>
      <c r="AL3556" s="19"/>
    </row>
    <row r="3557" spans="1:38" s="11" customFormat="1" x14ac:dyDescent="0.25">
      <c r="A3557" s="3"/>
      <c r="F3557" s="19"/>
      <c r="G3557" s="19"/>
      <c r="N3557" s="19"/>
      <c r="P3557" s="19"/>
      <c r="AL3557" s="19"/>
    </row>
    <row r="3558" spans="1:38" s="11" customFormat="1" x14ac:dyDescent="0.25">
      <c r="A3558" s="3"/>
      <c r="F3558" s="19"/>
      <c r="G3558" s="19"/>
      <c r="N3558" s="19"/>
      <c r="P3558" s="19"/>
      <c r="AL3558" s="19"/>
    </row>
    <row r="3559" spans="1:38" s="11" customFormat="1" x14ac:dyDescent="0.25">
      <c r="A3559" s="3"/>
      <c r="F3559" s="19"/>
      <c r="G3559" s="19"/>
      <c r="N3559" s="19"/>
      <c r="P3559" s="19"/>
      <c r="AL3559" s="19"/>
    </row>
    <row r="3560" spans="1:38" s="11" customFormat="1" x14ac:dyDescent="0.25">
      <c r="A3560" s="3"/>
      <c r="F3560" s="19"/>
      <c r="G3560" s="19"/>
      <c r="N3560" s="19"/>
      <c r="P3560" s="19"/>
      <c r="AL3560" s="19"/>
    </row>
    <row r="3561" spans="1:38" s="11" customFormat="1" x14ac:dyDescent="0.25">
      <c r="A3561" s="3"/>
      <c r="F3561" s="19"/>
      <c r="G3561" s="19"/>
      <c r="N3561" s="19"/>
      <c r="P3561" s="19"/>
      <c r="AL3561" s="19"/>
    </row>
    <row r="3562" spans="1:38" s="11" customFormat="1" x14ac:dyDescent="0.25">
      <c r="A3562" s="3"/>
      <c r="F3562" s="19"/>
      <c r="G3562" s="19"/>
      <c r="N3562" s="19"/>
      <c r="P3562" s="19"/>
      <c r="AL3562" s="19"/>
    </row>
    <row r="3563" spans="1:38" s="11" customFormat="1" x14ac:dyDescent="0.25">
      <c r="A3563" s="3"/>
      <c r="F3563" s="19"/>
      <c r="G3563" s="19"/>
      <c r="N3563" s="19"/>
      <c r="P3563" s="19"/>
      <c r="AL3563" s="19"/>
    </row>
    <row r="3564" spans="1:38" s="11" customFormat="1" x14ac:dyDescent="0.25">
      <c r="A3564" s="3"/>
      <c r="F3564" s="19"/>
      <c r="G3564" s="19"/>
      <c r="N3564" s="19"/>
      <c r="P3564" s="19"/>
      <c r="AL3564" s="19"/>
    </row>
    <row r="3565" spans="1:38" s="11" customFormat="1" x14ac:dyDescent="0.25">
      <c r="A3565" s="3"/>
      <c r="F3565" s="19"/>
      <c r="G3565" s="19"/>
      <c r="N3565" s="19"/>
      <c r="P3565" s="19"/>
      <c r="AL3565" s="19"/>
    </row>
    <row r="3566" spans="1:38" s="11" customFormat="1" x14ac:dyDescent="0.25">
      <c r="A3566" s="3"/>
      <c r="F3566" s="19"/>
      <c r="G3566" s="19"/>
      <c r="N3566" s="19"/>
      <c r="P3566" s="19"/>
      <c r="AL3566" s="19"/>
    </row>
    <row r="3567" spans="1:38" s="11" customFormat="1" x14ac:dyDescent="0.25">
      <c r="A3567" s="3"/>
      <c r="F3567" s="19"/>
      <c r="G3567" s="19"/>
      <c r="N3567" s="19"/>
      <c r="P3567" s="19"/>
      <c r="AL3567" s="19"/>
    </row>
    <row r="3568" spans="1:38" s="11" customFormat="1" x14ac:dyDescent="0.25">
      <c r="A3568" s="3"/>
      <c r="F3568" s="19"/>
      <c r="G3568" s="19"/>
      <c r="N3568" s="19"/>
      <c r="P3568" s="19"/>
      <c r="AL3568" s="19"/>
    </row>
    <row r="3569" spans="1:38" s="11" customFormat="1" x14ac:dyDescent="0.25">
      <c r="A3569" s="3"/>
      <c r="F3569" s="19"/>
      <c r="G3569" s="19"/>
      <c r="N3569" s="19"/>
      <c r="P3569" s="19"/>
      <c r="AL3569" s="19"/>
    </row>
    <row r="3570" spans="1:38" s="11" customFormat="1" x14ac:dyDescent="0.25">
      <c r="A3570" s="3"/>
      <c r="F3570" s="19"/>
      <c r="G3570" s="19"/>
      <c r="N3570" s="19"/>
      <c r="P3570" s="19"/>
      <c r="AL3570" s="19"/>
    </row>
    <row r="3571" spans="1:38" s="11" customFormat="1" x14ac:dyDescent="0.25">
      <c r="A3571" s="3"/>
      <c r="F3571" s="19"/>
      <c r="G3571" s="19"/>
      <c r="N3571" s="19"/>
      <c r="P3571" s="19"/>
      <c r="AL3571" s="19"/>
    </row>
    <row r="3572" spans="1:38" s="11" customFormat="1" x14ac:dyDescent="0.25">
      <c r="A3572" s="3"/>
      <c r="F3572" s="19"/>
      <c r="G3572" s="19"/>
      <c r="N3572" s="19"/>
      <c r="P3572" s="19"/>
      <c r="AL3572" s="19"/>
    </row>
    <row r="3573" spans="1:38" s="11" customFormat="1" x14ac:dyDescent="0.25">
      <c r="A3573" s="3"/>
      <c r="F3573" s="19"/>
      <c r="G3573" s="19"/>
      <c r="N3573" s="19"/>
      <c r="P3573" s="19"/>
      <c r="AL3573" s="19"/>
    </row>
    <row r="3574" spans="1:38" s="11" customFormat="1" x14ac:dyDescent="0.25">
      <c r="A3574" s="3"/>
      <c r="F3574" s="19"/>
      <c r="G3574" s="19"/>
      <c r="N3574" s="19"/>
      <c r="P3574" s="19"/>
      <c r="AL3574" s="19"/>
    </row>
    <row r="3575" spans="1:38" s="11" customFormat="1" x14ac:dyDescent="0.25">
      <c r="A3575" s="3"/>
      <c r="F3575" s="19"/>
      <c r="G3575" s="19"/>
      <c r="N3575" s="19"/>
      <c r="P3575" s="19"/>
      <c r="AL3575" s="19"/>
    </row>
    <row r="3576" spans="1:38" s="11" customFormat="1" x14ac:dyDescent="0.25">
      <c r="A3576" s="3"/>
      <c r="F3576" s="19"/>
      <c r="G3576" s="19"/>
      <c r="N3576" s="19"/>
      <c r="P3576" s="19"/>
      <c r="AL3576" s="19"/>
    </row>
    <row r="3577" spans="1:38" s="11" customFormat="1" x14ac:dyDescent="0.25">
      <c r="A3577" s="3"/>
      <c r="F3577" s="19"/>
      <c r="G3577" s="19"/>
      <c r="N3577" s="19"/>
      <c r="P3577" s="19"/>
      <c r="AL3577" s="19"/>
    </row>
    <row r="3578" spans="1:38" s="11" customFormat="1" x14ac:dyDescent="0.25">
      <c r="A3578" s="3"/>
      <c r="F3578" s="19"/>
      <c r="G3578" s="19"/>
      <c r="N3578" s="19"/>
      <c r="P3578" s="19"/>
      <c r="AL3578" s="19"/>
    </row>
    <row r="3579" spans="1:38" s="11" customFormat="1" x14ac:dyDescent="0.25">
      <c r="A3579" s="3"/>
      <c r="F3579" s="19"/>
      <c r="G3579" s="19"/>
      <c r="N3579" s="19"/>
      <c r="P3579" s="19"/>
      <c r="AL3579" s="19"/>
    </row>
    <row r="3580" spans="1:38" s="11" customFormat="1" x14ac:dyDescent="0.25">
      <c r="A3580" s="3"/>
      <c r="F3580" s="19"/>
      <c r="G3580" s="19"/>
      <c r="N3580" s="19"/>
      <c r="P3580" s="19"/>
      <c r="AL3580" s="19"/>
    </row>
    <row r="3581" spans="1:38" s="11" customFormat="1" x14ac:dyDescent="0.25">
      <c r="A3581" s="3"/>
      <c r="F3581" s="19"/>
      <c r="G3581" s="19"/>
      <c r="N3581" s="19"/>
      <c r="P3581" s="19"/>
      <c r="AL3581" s="19"/>
    </row>
    <row r="3582" spans="1:38" s="11" customFormat="1" x14ac:dyDescent="0.25">
      <c r="A3582" s="3"/>
      <c r="F3582" s="19"/>
      <c r="G3582" s="19"/>
      <c r="N3582" s="19"/>
      <c r="P3582" s="19"/>
      <c r="AL3582" s="19"/>
    </row>
    <row r="3583" spans="1:38" s="11" customFormat="1" x14ac:dyDescent="0.25">
      <c r="A3583" s="3"/>
      <c r="F3583" s="19"/>
      <c r="G3583" s="19"/>
      <c r="N3583" s="19"/>
      <c r="P3583" s="19"/>
      <c r="AL3583" s="19"/>
    </row>
    <row r="3584" spans="1:38" s="11" customFormat="1" x14ac:dyDescent="0.25">
      <c r="A3584" s="3"/>
      <c r="F3584" s="19"/>
      <c r="G3584" s="19"/>
      <c r="N3584" s="19"/>
      <c r="P3584" s="19"/>
      <c r="AL3584" s="19"/>
    </row>
    <row r="3585" spans="1:38" s="11" customFormat="1" x14ac:dyDescent="0.25">
      <c r="A3585" s="3"/>
      <c r="F3585" s="19"/>
      <c r="G3585" s="19"/>
      <c r="N3585" s="19"/>
      <c r="P3585" s="19"/>
      <c r="AL3585" s="19"/>
    </row>
    <row r="3586" spans="1:38" s="11" customFormat="1" x14ac:dyDescent="0.25">
      <c r="A3586" s="3"/>
      <c r="F3586" s="19"/>
      <c r="G3586" s="19"/>
      <c r="N3586" s="19"/>
      <c r="P3586" s="19"/>
      <c r="AL3586" s="19"/>
    </row>
    <row r="3587" spans="1:38" s="11" customFormat="1" x14ac:dyDescent="0.25">
      <c r="A3587" s="3"/>
      <c r="F3587" s="19"/>
      <c r="G3587" s="19"/>
      <c r="N3587" s="19"/>
      <c r="P3587" s="19"/>
      <c r="AL3587" s="19"/>
    </row>
    <row r="3588" spans="1:38" s="11" customFormat="1" x14ac:dyDescent="0.25">
      <c r="A3588" s="3"/>
      <c r="F3588" s="19"/>
      <c r="G3588" s="19"/>
      <c r="N3588" s="19"/>
      <c r="P3588" s="19"/>
      <c r="AL3588" s="19"/>
    </row>
    <row r="3589" spans="1:38" s="11" customFormat="1" x14ac:dyDescent="0.25">
      <c r="A3589" s="3"/>
      <c r="F3589" s="19"/>
      <c r="G3589" s="19"/>
      <c r="N3589" s="19"/>
      <c r="P3589" s="19"/>
      <c r="AL3589" s="19"/>
    </row>
    <row r="3590" spans="1:38" s="11" customFormat="1" x14ac:dyDescent="0.25">
      <c r="A3590" s="3"/>
      <c r="F3590" s="19"/>
      <c r="G3590" s="19"/>
      <c r="N3590" s="19"/>
      <c r="P3590" s="19"/>
      <c r="AL3590" s="19"/>
    </row>
    <row r="3591" spans="1:38" s="11" customFormat="1" x14ac:dyDescent="0.25">
      <c r="A3591" s="3"/>
      <c r="F3591" s="19"/>
      <c r="G3591" s="19"/>
      <c r="N3591" s="19"/>
      <c r="P3591" s="19"/>
      <c r="AL3591" s="19"/>
    </row>
    <row r="3592" spans="1:38" s="11" customFormat="1" x14ac:dyDescent="0.25">
      <c r="A3592" s="3"/>
      <c r="F3592" s="19"/>
      <c r="G3592" s="19"/>
      <c r="N3592" s="19"/>
      <c r="P3592" s="19"/>
      <c r="AL3592" s="19"/>
    </row>
    <row r="3593" spans="1:38" s="11" customFormat="1" x14ac:dyDescent="0.25">
      <c r="A3593" s="3"/>
      <c r="F3593" s="19"/>
      <c r="G3593" s="19"/>
      <c r="N3593" s="19"/>
      <c r="P3593" s="19"/>
      <c r="AL3593" s="19"/>
    </row>
    <row r="3594" spans="1:38" s="11" customFormat="1" x14ac:dyDescent="0.25">
      <c r="A3594" s="3"/>
      <c r="F3594" s="19"/>
      <c r="G3594" s="19"/>
      <c r="N3594" s="19"/>
      <c r="P3594" s="19"/>
      <c r="AL3594" s="19"/>
    </row>
    <row r="3595" spans="1:38" s="11" customFormat="1" x14ac:dyDescent="0.25">
      <c r="A3595" s="3"/>
      <c r="F3595" s="19"/>
      <c r="G3595" s="19"/>
      <c r="N3595" s="19"/>
      <c r="P3595" s="19"/>
      <c r="AL3595" s="19"/>
    </row>
    <row r="3596" spans="1:38" s="11" customFormat="1" x14ac:dyDescent="0.25">
      <c r="A3596" s="3"/>
      <c r="F3596" s="19"/>
      <c r="G3596" s="19"/>
      <c r="N3596" s="19"/>
      <c r="P3596" s="19"/>
      <c r="AL3596" s="19"/>
    </row>
    <row r="3597" spans="1:38" s="11" customFormat="1" x14ac:dyDescent="0.25">
      <c r="A3597" s="3"/>
      <c r="F3597" s="19"/>
      <c r="G3597" s="19"/>
      <c r="N3597" s="19"/>
      <c r="P3597" s="19"/>
      <c r="AL3597" s="19"/>
    </row>
    <row r="3598" spans="1:38" s="11" customFormat="1" x14ac:dyDescent="0.25">
      <c r="A3598" s="3"/>
      <c r="F3598" s="19"/>
      <c r="G3598" s="19"/>
      <c r="N3598" s="19"/>
      <c r="P3598" s="19"/>
      <c r="AL3598" s="19"/>
    </row>
    <row r="3599" spans="1:38" s="11" customFormat="1" x14ac:dyDescent="0.25">
      <c r="A3599" s="3"/>
      <c r="F3599" s="19"/>
      <c r="G3599" s="19"/>
      <c r="N3599" s="19"/>
      <c r="P3599" s="19"/>
      <c r="AL3599" s="19"/>
    </row>
    <row r="3600" spans="1:38" s="11" customFormat="1" x14ac:dyDescent="0.25">
      <c r="A3600" s="3"/>
      <c r="F3600" s="19"/>
      <c r="G3600" s="19"/>
      <c r="N3600" s="19"/>
      <c r="P3600" s="19"/>
      <c r="AL3600" s="19"/>
    </row>
    <row r="3601" spans="1:38" s="11" customFormat="1" x14ac:dyDescent="0.25">
      <c r="A3601" s="3"/>
      <c r="F3601" s="19"/>
      <c r="G3601" s="19"/>
      <c r="N3601" s="19"/>
      <c r="P3601" s="19"/>
      <c r="AL3601" s="19"/>
    </row>
    <row r="3602" spans="1:38" s="11" customFormat="1" x14ac:dyDescent="0.25">
      <c r="A3602" s="3"/>
      <c r="F3602" s="19"/>
      <c r="G3602" s="19"/>
      <c r="N3602" s="19"/>
      <c r="P3602" s="19"/>
      <c r="AL3602" s="19"/>
    </row>
    <row r="3603" spans="1:38" s="11" customFormat="1" x14ac:dyDescent="0.25">
      <c r="A3603" s="3"/>
      <c r="F3603" s="19"/>
      <c r="G3603" s="19"/>
      <c r="N3603" s="19"/>
      <c r="P3603" s="19"/>
      <c r="AL3603" s="19"/>
    </row>
    <row r="3604" spans="1:38" s="11" customFormat="1" x14ac:dyDescent="0.25">
      <c r="A3604" s="3"/>
      <c r="F3604" s="19"/>
      <c r="G3604" s="19"/>
      <c r="N3604" s="19"/>
      <c r="P3604" s="19"/>
      <c r="AL3604" s="19"/>
    </row>
    <row r="3605" spans="1:38" s="11" customFormat="1" x14ac:dyDescent="0.25">
      <c r="A3605" s="3"/>
      <c r="F3605" s="19"/>
      <c r="G3605" s="19"/>
      <c r="N3605" s="19"/>
      <c r="P3605" s="19"/>
      <c r="AL3605" s="19"/>
    </row>
    <row r="3606" spans="1:38" s="11" customFormat="1" x14ac:dyDescent="0.25">
      <c r="A3606" s="3"/>
      <c r="F3606" s="19"/>
      <c r="G3606" s="19"/>
      <c r="N3606" s="19"/>
      <c r="P3606" s="19"/>
      <c r="AL3606" s="19"/>
    </row>
    <row r="3607" spans="1:38" s="11" customFormat="1" x14ac:dyDescent="0.25">
      <c r="A3607" s="3"/>
      <c r="F3607" s="19"/>
      <c r="G3607" s="19"/>
      <c r="N3607" s="19"/>
      <c r="P3607" s="19"/>
      <c r="AL3607" s="19"/>
    </row>
    <row r="3608" spans="1:38" s="11" customFormat="1" x14ac:dyDescent="0.25">
      <c r="A3608" s="3"/>
      <c r="F3608" s="19"/>
      <c r="G3608" s="19"/>
      <c r="N3608" s="19"/>
      <c r="P3608" s="19"/>
      <c r="AL3608" s="19"/>
    </row>
    <row r="3609" spans="1:38" s="11" customFormat="1" x14ac:dyDescent="0.25">
      <c r="A3609" s="3"/>
      <c r="F3609" s="19"/>
      <c r="G3609" s="19"/>
      <c r="N3609" s="19"/>
      <c r="P3609" s="19"/>
      <c r="AL3609" s="19"/>
    </row>
    <row r="3610" spans="1:38" s="11" customFormat="1" x14ac:dyDescent="0.25">
      <c r="A3610" s="3"/>
      <c r="F3610" s="19"/>
      <c r="G3610" s="19"/>
      <c r="N3610" s="19"/>
      <c r="P3610" s="19"/>
      <c r="AL3610" s="19"/>
    </row>
    <row r="3611" spans="1:38" s="11" customFormat="1" x14ac:dyDescent="0.25">
      <c r="A3611" s="3"/>
      <c r="F3611" s="19"/>
      <c r="G3611" s="19"/>
      <c r="N3611" s="19"/>
      <c r="P3611" s="19"/>
      <c r="AL3611" s="19"/>
    </row>
    <row r="3612" spans="1:38" s="11" customFormat="1" x14ac:dyDescent="0.25">
      <c r="A3612" s="3"/>
      <c r="F3612" s="19"/>
      <c r="G3612" s="19"/>
      <c r="N3612" s="19"/>
      <c r="P3612" s="19"/>
      <c r="AL3612" s="19"/>
    </row>
    <row r="3613" spans="1:38" s="11" customFormat="1" x14ac:dyDescent="0.25">
      <c r="A3613" s="3"/>
      <c r="F3613" s="19"/>
      <c r="G3613" s="19"/>
      <c r="N3613" s="19"/>
      <c r="P3613" s="19"/>
      <c r="AL3613" s="19"/>
    </row>
    <row r="3614" spans="1:38" s="11" customFormat="1" x14ac:dyDescent="0.25">
      <c r="A3614" s="3"/>
      <c r="F3614" s="19"/>
      <c r="G3614" s="19"/>
      <c r="N3614" s="19"/>
      <c r="P3614" s="19"/>
      <c r="AL3614" s="19"/>
    </row>
    <row r="3615" spans="1:38" s="11" customFormat="1" x14ac:dyDescent="0.25">
      <c r="A3615" s="3"/>
      <c r="F3615" s="19"/>
      <c r="G3615" s="19"/>
      <c r="N3615" s="19"/>
      <c r="P3615" s="19"/>
      <c r="AL3615" s="19"/>
    </row>
    <row r="3616" spans="1:38" s="11" customFormat="1" x14ac:dyDescent="0.25">
      <c r="A3616" s="3"/>
      <c r="F3616" s="19"/>
      <c r="G3616" s="19"/>
      <c r="N3616" s="19"/>
      <c r="P3616" s="19"/>
      <c r="AL3616" s="19"/>
    </row>
    <row r="3617" spans="1:38" s="11" customFormat="1" x14ac:dyDescent="0.25">
      <c r="A3617" s="3"/>
      <c r="F3617" s="19"/>
      <c r="G3617" s="19"/>
      <c r="N3617" s="19"/>
      <c r="P3617" s="19"/>
      <c r="AL3617" s="19"/>
    </row>
    <row r="3618" spans="1:38" s="11" customFormat="1" x14ac:dyDescent="0.25">
      <c r="A3618" s="3"/>
      <c r="F3618" s="19"/>
      <c r="G3618" s="19"/>
      <c r="N3618" s="19"/>
      <c r="P3618" s="19"/>
      <c r="AL3618" s="19"/>
    </row>
    <row r="3619" spans="1:38" s="11" customFormat="1" x14ac:dyDescent="0.25">
      <c r="A3619" s="3"/>
      <c r="F3619" s="19"/>
      <c r="G3619" s="19"/>
      <c r="N3619" s="19"/>
      <c r="P3619" s="19"/>
      <c r="AL3619" s="19"/>
    </row>
    <row r="3620" spans="1:38" s="11" customFormat="1" x14ac:dyDescent="0.25">
      <c r="A3620" s="3"/>
      <c r="F3620" s="19"/>
      <c r="G3620" s="19"/>
      <c r="N3620" s="19"/>
      <c r="P3620" s="19"/>
      <c r="AL3620" s="19"/>
    </row>
    <row r="3621" spans="1:38" s="11" customFormat="1" x14ac:dyDescent="0.25">
      <c r="A3621" s="3"/>
      <c r="F3621" s="19"/>
      <c r="G3621" s="19"/>
      <c r="N3621" s="19"/>
      <c r="P3621" s="19"/>
      <c r="AL3621" s="19"/>
    </row>
    <row r="3622" spans="1:38" s="11" customFormat="1" x14ac:dyDescent="0.25">
      <c r="A3622" s="3"/>
      <c r="F3622" s="19"/>
      <c r="G3622" s="19"/>
      <c r="N3622" s="19"/>
      <c r="P3622" s="19"/>
      <c r="AL3622" s="19"/>
    </row>
    <row r="3623" spans="1:38" s="11" customFormat="1" x14ac:dyDescent="0.25">
      <c r="A3623" s="3"/>
      <c r="F3623" s="19"/>
      <c r="G3623" s="19"/>
      <c r="N3623" s="19"/>
      <c r="P3623" s="19"/>
      <c r="AL3623" s="19"/>
    </row>
    <row r="3624" spans="1:38" s="11" customFormat="1" x14ac:dyDescent="0.25">
      <c r="A3624" s="3"/>
      <c r="F3624" s="19"/>
      <c r="G3624" s="19"/>
      <c r="N3624" s="19"/>
      <c r="P3624" s="19"/>
      <c r="AL3624" s="19"/>
    </row>
    <row r="3625" spans="1:38" s="11" customFormat="1" x14ac:dyDescent="0.25">
      <c r="A3625" s="3"/>
      <c r="F3625" s="19"/>
      <c r="G3625" s="19"/>
      <c r="N3625" s="19"/>
      <c r="P3625" s="19"/>
      <c r="AL3625" s="19"/>
    </row>
    <row r="3626" spans="1:38" s="11" customFormat="1" x14ac:dyDescent="0.25">
      <c r="A3626" s="3"/>
      <c r="F3626" s="19"/>
      <c r="G3626" s="19"/>
      <c r="N3626" s="19"/>
      <c r="P3626" s="19"/>
      <c r="AL3626" s="19"/>
    </row>
    <row r="3627" spans="1:38" s="11" customFormat="1" x14ac:dyDescent="0.25">
      <c r="A3627" s="3"/>
      <c r="F3627" s="19"/>
      <c r="G3627" s="19"/>
      <c r="N3627" s="19"/>
      <c r="P3627" s="19"/>
      <c r="AL3627" s="19"/>
    </row>
    <row r="3628" spans="1:38" s="11" customFormat="1" x14ac:dyDescent="0.25">
      <c r="A3628" s="3"/>
      <c r="F3628" s="19"/>
      <c r="G3628" s="19"/>
      <c r="N3628" s="19"/>
      <c r="P3628" s="19"/>
      <c r="AL3628" s="19"/>
    </row>
    <row r="3629" spans="1:38" s="11" customFormat="1" x14ac:dyDescent="0.25">
      <c r="A3629" s="3"/>
      <c r="F3629" s="19"/>
      <c r="G3629" s="19"/>
      <c r="N3629" s="19"/>
      <c r="P3629" s="19"/>
      <c r="AL3629" s="19"/>
    </row>
    <row r="3630" spans="1:38" s="11" customFormat="1" x14ac:dyDescent="0.25">
      <c r="A3630" s="3"/>
      <c r="F3630" s="19"/>
      <c r="G3630" s="19"/>
      <c r="N3630" s="19"/>
      <c r="P3630" s="19"/>
      <c r="AL3630" s="19"/>
    </row>
    <row r="3631" spans="1:38" s="11" customFormat="1" x14ac:dyDescent="0.25">
      <c r="A3631" s="3"/>
      <c r="F3631" s="19"/>
      <c r="G3631" s="19"/>
      <c r="N3631" s="19"/>
      <c r="P3631" s="19"/>
      <c r="AL3631" s="19"/>
    </row>
    <row r="3632" spans="1:38" s="11" customFormat="1" x14ac:dyDescent="0.25">
      <c r="A3632" s="3"/>
      <c r="F3632" s="19"/>
      <c r="G3632" s="19"/>
      <c r="N3632" s="19"/>
      <c r="P3632" s="19"/>
      <c r="AL3632" s="19"/>
    </row>
    <row r="3633" spans="1:38" s="11" customFormat="1" x14ac:dyDescent="0.25">
      <c r="A3633" s="3"/>
      <c r="F3633" s="19"/>
      <c r="G3633" s="19"/>
      <c r="N3633" s="19"/>
      <c r="P3633" s="19"/>
      <c r="AL3633" s="19"/>
    </row>
    <row r="3634" spans="1:38" s="11" customFormat="1" x14ac:dyDescent="0.25">
      <c r="A3634" s="3"/>
      <c r="F3634" s="19"/>
      <c r="G3634" s="19"/>
      <c r="N3634" s="19"/>
      <c r="P3634" s="19"/>
      <c r="AL3634" s="19"/>
    </row>
    <row r="3635" spans="1:38" s="11" customFormat="1" x14ac:dyDescent="0.25">
      <c r="A3635" s="3"/>
      <c r="F3635" s="19"/>
      <c r="G3635" s="19"/>
      <c r="N3635" s="19"/>
      <c r="P3635" s="19"/>
      <c r="AL3635" s="19"/>
    </row>
    <row r="3636" spans="1:38" s="11" customFormat="1" x14ac:dyDescent="0.25">
      <c r="A3636" s="3"/>
      <c r="F3636" s="19"/>
      <c r="G3636" s="19"/>
      <c r="N3636" s="19"/>
      <c r="P3636" s="19"/>
      <c r="AL3636" s="19"/>
    </row>
    <row r="3637" spans="1:38" s="11" customFormat="1" x14ac:dyDescent="0.25">
      <c r="A3637" s="3"/>
      <c r="F3637" s="19"/>
      <c r="G3637" s="19"/>
      <c r="N3637" s="19"/>
      <c r="P3637" s="19"/>
      <c r="AL3637" s="19"/>
    </row>
    <row r="3638" spans="1:38" s="11" customFormat="1" x14ac:dyDescent="0.25">
      <c r="A3638" s="3"/>
      <c r="F3638" s="19"/>
      <c r="G3638" s="19"/>
      <c r="N3638" s="19"/>
      <c r="P3638" s="19"/>
      <c r="AL3638" s="19"/>
    </row>
    <row r="3639" spans="1:38" s="11" customFormat="1" x14ac:dyDescent="0.25">
      <c r="A3639" s="3"/>
      <c r="F3639" s="19"/>
      <c r="G3639" s="19"/>
      <c r="N3639" s="19"/>
      <c r="P3639" s="19"/>
      <c r="AL3639" s="19"/>
    </row>
    <row r="3640" spans="1:38" s="11" customFormat="1" x14ac:dyDescent="0.25">
      <c r="A3640" s="3"/>
      <c r="F3640" s="19"/>
      <c r="G3640" s="19"/>
      <c r="N3640" s="19"/>
      <c r="P3640" s="19"/>
      <c r="AL3640" s="19"/>
    </row>
    <row r="3641" spans="1:38" s="11" customFormat="1" x14ac:dyDescent="0.25">
      <c r="A3641" s="3"/>
      <c r="F3641" s="19"/>
      <c r="G3641" s="19"/>
      <c r="N3641" s="19"/>
      <c r="P3641" s="19"/>
      <c r="AL3641" s="19"/>
    </row>
    <row r="3642" spans="1:38" s="11" customFormat="1" x14ac:dyDescent="0.25">
      <c r="A3642" s="3"/>
      <c r="F3642" s="19"/>
      <c r="G3642" s="19"/>
      <c r="N3642" s="19"/>
      <c r="P3642" s="19"/>
      <c r="AL3642" s="19"/>
    </row>
    <row r="3643" spans="1:38" s="11" customFormat="1" x14ac:dyDescent="0.25">
      <c r="A3643" s="3"/>
      <c r="F3643" s="19"/>
      <c r="G3643" s="19"/>
      <c r="N3643" s="19"/>
      <c r="P3643" s="19"/>
      <c r="AL3643" s="19"/>
    </row>
    <row r="3644" spans="1:38" s="11" customFormat="1" x14ac:dyDescent="0.25">
      <c r="A3644" s="3"/>
      <c r="F3644" s="19"/>
      <c r="G3644" s="19"/>
      <c r="N3644" s="19"/>
      <c r="P3644" s="19"/>
      <c r="AL3644" s="19"/>
    </row>
    <row r="3645" spans="1:38" s="11" customFormat="1" x14ac:dyDescent="0.25">
      <c r="A3645" s="3"/>
      <c r="F3645" s="19"/>
      <c r="G3645" s="19"/>
      <c r="N3645" s="19"/>
      <c r="P3645" s="19"/>
      <c r="AL3645" s="19"/>
    </row>
    <row r="3646" spans="1:38" s="11" customFormat="1" x14ac:dyDescent="0.25">
      <c r="A3646" s="3"/>
      <c r="F3646" s="19"/>
      <c r="G3646" s="19"/>
      <c r="N3646" s="19"/>
      <c r="P3646" s="19"/>
      <c r="AL3646" s="19"/>
    </row>
    <row r="3647" spans="1:38" s="11" customFormat="1" x14ac:dyDescent="0.25">
      <c r="A3647" s="3"/>
      <c r="F3647" s="19"/>
      <c r="G3647" s="19"/>
      <c r="N3647" s="19"/>
      <c r="P3647" s="19"/>
      <c r="AL3647" s="19"/>
    </row>
    <row r="3648" spans="1:38" s="11" customFormat="1" x14ac:dyDescent="0.25">
      <c r="A3648" s="3"/>
      <c r="F3648" s="19"/>
      <c r="G3648" s="19"/>
      <c r="N3648" s="19"/>
      <c r="P3648" s="19"/>
      <c r="AL3648" s="19"/>
    </row>
    <row r="3649" spans="1:38" s="11" customFormat="1" x14ac:dyDescent="0.25">
      <c r="A3649" s="3"/>
      <c r="F3649" s="19"/>
      <c r="G3649" s="19"/>
      <c r="N3649" s="19"/>
      <c r="P3649" s="19"/>
      <c r="AL3649" s="19"/>
    </row>
    <row r="3650" spans="1:38" s="11" customFormat="1" x14ac:dyDescent="0.25">
      <c r="A3650" s="3"/>
      <c r="F3650" s="19"/>
      <c r="G3650" s="19"/>
      <c r="N3650" s="19"/>
      <c r="P3650" s="19"/>
      <c r="AL3650" s="19"/>
    </row>
    <row r="3651" spans="1:38" s="11" customFormat="1" x14ac:dyDescent="0.25">
      <c r="A3651" s="3"/>
      <c r="F3651" s="19"/>
      <c r="G3651" s="19"/>
      <c r="N3651" s="19"/>
      <c r="P3651" s="19"/>
      <c r="AL3651" s="19"/>
    </row>
    <row r="3652" spans="1:38" s="11" customFormat="1" x14ac:dyDescent="0.25">
      <c r="A3652" s="3"/>
      <c r="F3652" s="19"/>
      <c r="G3652" s="19"/>
      <c r="N3652" s="19"/>
      <c r="P3652" s="19"/>
      <c r="AL3652" s="19"/>
    </row>
    <row r="3653" spans="1:38" s="11" customFormat="1" x14ac:dyDescent="0.25">
      <c r="A3653" s="3"/>
      <c r="F3653" s="19"/>
      <c r="G3653" s="19"/>
      <c r="N3653" s="19"/>
      <c r="P3653" s="19"/>
      <c r="AL3653" s="19"/>
    </row>
    <row r="3654" spans="1:38" s="11" customFormat="1" x14ac:dyDescent="0.25">
      <c r="A3654" s="3"/>
      <c r="F3654" s="19"/>
      <c r="G3654" s="19"/>
      <c r="N3654" s="19"/>
      <c r="P3654" s="19"/>
      <c r="AL3654" s="19"/>
    </row>
    <row r="3655" spans="1:38" s="11" customFormat="1" x14ac:dyDescent="0.25">
      <c r="A3655" s="3"/>
      <c r="F3655" s="19"/>
      <c r="G3655" s="19"/>
      <c r="N3655" s="19"/>
      <c r="P3655" s="19"/>
      <c r="AL3655" s="19"/>
    </row>
    <row r="3656" spans="1:38" s="11" customFormat="1" x14ac:dyDescent="0.25">
      <c r="A3656" s="3"/>
      <c r="F3656" s="19"/>
      <c r="G3656" s="19"/>
      <c r="N3656" s="19"/>
      <c r="P3656" s="19"/>
      <c r="AL3656" s="19"/>
    </row>
    <row r="3657" spans="1:38" s="11" customFormat="1" x14ac:dyDescent="0.25">
      <c r="A3657" s="3"/>
      <c r="F3657" s="19"/>
      <c r="G3657" s="19"/>
      <c r="N3657" s="19"/>
      <c r="P3657" s="19"/>
      <c r="AL3657" s="19"/>
    </row>
    <row r="3658" spans="1:38" s="11" customFormat="1" x14ac:dyDescent="0.25">
      <c r="A3658" s="3"/>
      <c r="F3658" s="19"/>
      <c r="G3658" s="19"/>
      <c r="N3658" s="19"/>
      <c r="P3658" s="19"/>
      <c r="AL3658" s="19"/>
    </row>
    <row r="3659" spans="1:38" s="11" customFormat="1" x14ac:dyDescent="0.25">
      <c r="A3659" s="3"/>
      <c r="F3659" s="19"/>
      <c r="G3659" s="19"/>
      <c r="N3659" s="19"/>
      <c r="P3659" s="19"/>
      <c r="AL3659" s="19"/>
    </row>
    <row r="3660" spans="1:38" s="11" customFormat="1" x14ac:dyDescent="0.25">
      <c r="A3660" s="3"/>
      <c r="F3660" s="19"/>
      <c r="G3660" s="19"/>
      <c r="N3660" s="19"/>
      <c r="P3660" s="19"/>
      <c r="AL3660" s="19"/>
    </row>
    <row r="3661" spans="1:38" s="11" customFormat="1" x14ac:dyDescent="0.25">
      <c r="A3661" s="3"/>
      <c r="F3661" s="19"/>
      <c r="G3661" s="19"/>
      <c r="N3661" s="19"/>
      <c r="P3661" s="19"/>
      <c r="AL3661" s="19"/>
    </row>
    <row r="3662" spans="1:38" s="11" customFormat="1" x14ac:dyDescent="0.25">
      <c r="A3662" s="3"/>
      <c r="F3662" s="19"/>
      <c r="G3662" s="19"/>
      <c r="N3662" s="19"/>
      <c r="P3662" s="19"/>
      <c r="AL3662" s="19"/>
    </row>
    <row r="3663" spans="1:38" s="11" customFormat="1" x14ac:dyDescent="0.25">
      <c r="A3663" s="3"/>
      <c r="F3663" s="19"/>
      <c r="G3663" s="19"/>
      <c r="N3663" s="19"/>
      <c r="P3663" s="19"/>
      <c r="AL3663" s="19"/>
    </row>
    <row r="3664" spans="1:38" s="11" customFormat="1" x14ac:dyDescent="0.25">
      <c r="A3664" s="3"/>
      <c r="F3664" s="19"/>
      <c r="G3664" s="19"/>
      <c r="N3664" s="19"/>
      <c r="P3664" s="19"/>
      <c r="AL3664" s="19"/>
    </row>
    <row r="3665" spans="1:38" s="11" customFormat="1" x14ac:dyDescent="0.25">
      <c r="A3665" s="3"/>
      <c r="F3665" s="19"/>
      <c r="G3665" s="19"/>
      <c r="N3665" s="19"/>
      <c r="P3665" s="19"/>
      <c r="AL3665" s="19"/>
    </row>
    <row r="3666" spans="1:38" s="11" customFormat="1" x14ac:dyDescent="0.25">
      <c r="A3666" s="3"/>
      <c r="F3666" s="19"/>
      <c r="G3666" s="19"/>
      <c r="N3666" s="19"/>
      <c r="P3666" s="19"/>
      <c r="AL3666" s="19"/>
    </row>
    <row r="3667" spans="1:38" s="11" customFormat="1" x14ac:dyDescent="0.25">
      <c r="A3667" s="3"/>
      <c r="F3667" s="19"/>
      <c r="G3667" s="19"/>
      <c r="N3667" s="19"/>
      <c r="P3667" s="19"/>
      <c r="AL3667" s="19"/>
    </row>
    <row r="3668" spans="1:38" s="11" customFormat="1" x14ac:dyDescent="0.25">
      <c r="A3668" s="3"/>
      <c r="F3668" s="19"/>
      <c r="G3668" s="19"/>
      <c r="N3668" s="19"/>
      <c r="P3668" s="19"/>
      <c r="AL3668" s="19"/>
    </row>
    <row r="3669" spans="1:38" s="11" customFormat="1" x14ac:dyDescent="0.25">
      <c r="A3669" s="3"/>
      <c r="F3669" s="19"/>
      <c r="G3669" s="19"/>
      <c r="N3669" s="19"/>
      <c r="P3669" s="19"/>
      <c r="AL3669" s="19"/>
    </row>
    <row r="3670" spans="1:38" s="11" customFormat="1" x14ac:dyDescent="0.25">
      <c r="A3670" s="3"/>
      <c r="F3670" s="19"/>
      <c r="G3670" s="19"/>
      <c r="N3670" s="19"/>
      <c r="P3670" s="19"/>
      <c r="AL3670" s="19"/>
    </row>
    <row r="3671" spans="1:38" s="11" customFormat="1" x14ac:dyDescent="0.25">
      <c r="A3671" s="3"/>
      <c r="F3671" s="19"/>
      <c r="G3671" s="19"/>
      <c r="N3671" s="19"/>
      <c r="P3671" s="19"/>
      <c r="AL3671" s="19"/>
    </row>
    <row r="3672" spans="1:38" s="11" customFormat="1" x14ac:dyDescent="0.25">
      <c r="A3672" s="3"/>
      <c r="F3672" s="19"/>
      <c r="G3672" s="19"/>
      <c r="N3672" s="19"/>
      <c r="P3672" s="19"/>
      <c r="AL3672" s="19"/>
    </row>
    <row r="3673" spans="1:38" s="11" customFormat="1" x14ac:dyDescent="0.25">
      <c r="A3673" s="3"/>
      <c r="F3673" s="19"/>
      <c r="G3673" s="19"/>
      <c r="N3673" s="19"/>
      <c r="P3673" s="19"/>
      <c r="AL3673" s="19"/>
    </row>
    <row r="3674" spans="1:38" s="11" customFormat="1" x14ac:dyDescent="0.25">
      <c r="A3674" s="3"/>
      <c r="F3674" s="19"/>
      <c r="G3674" s="19"/>
      <c r="N3674" s="19"/>
      <c r="P3674" s="19"/>
      <c r="AL3674" s="19"/>
    </row>
    <row r="3675" spans="1:38" s="11" customFormat="1" x14ac:dyDescent="0.25">
      <c r="A3675" s="3"/>
      <c r="F3675" s="19"/>
      <c r="G3675" s="19"/>
      <c r="N3675" s="19"/>
      <c r="P3675" s="19"/>
      <c r="AL3675" s="19"/>
    </row>
    <row r="3676" spans="1:38" s="11" customFormat="1" x14ac:dyDescent="0.25">
      <c r="A3676" s="3"/>
      <c r="F3676" s="19"/>
      <c r="G3676" s="19"/>
      <c r="N3676" s="19"/>
      <c r="P3676" s="19"/>
      <c r="AL3676" s="19"/>
    </row>
    <row r="3677" spans="1:38" s="11" customFormat="1" x14ac:dyDescent="0.25">
      <c r="A3677" s="3"/>
      <c r="F3677" s="19"/>
      <c r="G3677" s="19"/>
      <c r="N3677" s="19"/>
      <c r="P3677" s="19"/>
      <c r="AL3677" s="19"/>
    </row>
    <row r="3678" spans="1:38" s="11" customFormat="1" x14ac:dyDescent="0.25">
      <c r="A3678" s="3"/>
      <c r="F3678" s="19"/>
      <c r="G3678" s="19"/>
      <c r="N3678" s="19"/>
      <c r="P3678" s="19"/>
      <c r="AL3678" s="19"/>
    </row>
    <row r="3679" spans="1:38" s="11" customFormat="1" x14ac:dyDescent="0.25">
      <c r="A3679" s="3"/>
      <c r="F3679" s="19"/>
      <c r="G3679" s="19"/>
      <c r="N3679" s="19"/>
      <c r="P3679" s="19"/>
      <c r="AL3679" s="19"/>
    </row>
    <row r="3680" spans="1:38" s="11" customFormat="1" x14ac:dyDescent="0.25">
      <c r="A3680" s="3"/>
      <c r="F3680" s="19"/>
      <c r="G3680" s="19"/>
      <c r="N3680" s="19"/>
      <c r="P3680" s="19"/>
      <c r="AL3680" s="19"/>
    </row>
    <row r="3681" spans="1:38" s="11" customFormat="1" x14ac:dyDescent="0.25">
      <c r="A3681" s="3"/>
      <c r="F3681" s="19"/>
      <c r="G3681" s="19"/>
      <c r="N3681" s="19"/>
      <c r="P3681" s="19"/>
      <c r="AL3681" s="19"/>
    </row>
    <row r="3682" spans="1:38" s="11" customFormat="1" x14ac:dyDescent="0.25">
      <c r="A3682" s="3"/>
      <c r="F3682" s="19"/>
      <c r="G3682" s="19"/>
      <c r="N3682" s="19"/>
      <c r="P3682" s="19"/>
      <c r="AL3682" s="19"/>
    </row>
    <row r="3683" spans="1:38" s="11" customFormat="1" x14ac:dyDescent="0.25">
      <c r="A3683" s="3"/>
      <c r="F3683" s="19"/>
      <c r="G3683" s="19"/>
      <c r="N3683" s="19"/>
      <c r="P3683" s="19"/>
      <c r="AL3683" s="19"/>
    </row>
    <row r="3684" spans="1:38" s="11" customFormat="1" x14ac:dyDescent="0.25">
      <c r="A3684" s="3"/>
      <c r="F3684" s="19"/>
      <c r="G3684" s="19"/>
      <c r="N3684" s="19"/>
      <c r="P3684" s="19"/>
      <c r="AL3684" s="19"/>
    </row>
    <row r="3685" spans="1:38" s="11" customFormat="1" x14ac:dyDescent="0.25">
      <c r="A3685" s="3"/>
      <c r="F3685" s="19"/>
      <c r="G3685" s="19"/>
      <c r="N3685" s="19"/>
      <c r="P3685" s="19"/>
      <c r="AL3685" s="19"/>
    </row>
    <row r="3686" spans="1:38" s="11" customFormat="1" x14ac:dyDescent="0.25">
      <c r="A3686" s="3"/>
      <c r="F3686" s="19"/>
      <c r="G3686" s="19"/>
      <c r="N3686" s="19"/>
      <c r="P3686" s="19"/>
      <c r="AL3686" s="19"/>
    </row>
    <row r="3687" spans="1:38" s="11" customFormat="1" x14ac:dyDescent="0.25">
      <c r="A3687" s="3"/>
      <c r="F3687" s="19"/>
      <c r="G3687" s="19"/>
      <c r="N3687" s="19"/>
      <c r="P3687" s="19"/>
      <c r="AL3687" s="19"/>
    </row>
    <row r="3688" spans="1:38" s="11" customFormat="1" x14ac:dyDescent="0.25">
      <c r="A3688" s="3"/>
      <c r="F3688" s="19"/>
      <c r="G3688" s="19"/>
      <c r="N3688" s="19"/>
      <c r="P3688" s="19"/>
      <c r="AL3688" s="19"/>
    </row>
    <row r="3689" spans="1:38" s="11" customFormat="1" x14ac:dyDescent="0.25">
      <c r="A3689" s="3"/>
      <c r="F3689" s="19"/>
      <c r="G3689" s="19"/>
      <c r="N3689" s="19"/>
      <c r="P3689" s="19"/>
      <c r="AL3689" s="19"/>
    </row>
    <row r="3690" spans="1:38" s="11" customFormat="1" x14ac:dyDescent="0.25">
      <c r="A3690" s="3"/>
      <c r="F3690" s="19"/>
      <c r="G3690" s="19"/>
      <c r="N3690" s="19"/>
      <c r="P3690" s="19"/>
      <c r="AL3690" s="19"/>
    </row>
    <row r="3691" spans="1:38" s="11" customFormat="1" x14ac:dyDescent="0.25">
      <c r="A3691" s="3"/>
      <c r="F3691" s="19"/>
      <c r="G3691" s="19"/>
      <c r="N3691" s="19"/>
      <c r="P3691" s="19"/>
      <c r="AL3691" s="19"/>
    </row>
    <row r="3692" spans="1:38" s="11" customFormat="1" x14ac:dyDescent="0.25">
      <c r="A3692" s="3"/>
      <c r="F3692" s="19"/>
      <c r="G3692" s="19"/>
      <c r="N3692" s="19"/>
      <c r="P3692" s="19"/>
      <c r="AL3692" s="19"/>
    </row>
    <row r="3693" spans="1:38" s="11" customFormat="1" x14ac:dyDescent="0.25">
      <c r="A3693" s="3"/>
      <c r="F3693" s="19"/>
      <c r="G3693" s="19"/>
      <c r="N3693" s="19"/>
      <c r="P3693" s="19"/>
      <c r="AL3693" s="19"/>
    </row>
    <row r="3694" spans="1:38" s="11" customFormat="1" x14ac:dyDescent="0.25">
      <c r="A3694" s="3"/>
      <c r="F3694" s="19"/>
      <c r="G3694" s="19"/>
      <c r="N3694" s="19"/>
      <c r="P3694" s="19"/>
      <c r="AL3694" s="19"/>
    </row>
    <row r="3695" spans="1:38" s="11" customFormat="1" x14ac:dyDescent="0.25">
      <c r="A3695" s="3"/>
      <c r="F3695" s="19"/>
      <c r="G3695" s="19"/>
      <c r="N3695" s="19"/>
      <c r="P3695" s="19"/>
      <c r="AL3695" s="19"/>
    </row>
    <row r="3696" spans="1:38" s="11" customFormat="1" x14ac:dyDescent="0.25">
      <c r="A3696" s="3"/>
      <c r="F3696" s="19"/>
      <c r="G3696" s="19"/>
      <c r="N3696" s="19"/>
      <c r="P3696" s="19"/>
      <c r="AL3696" s="19"/>
    </row>
    <row r="3697" spans="1:38" s="11" customFormat="1" x14ac:dyDescent="0.25">
      <c r="A3697" s="3"/>
      <c r="F3697" s="19"/>
      <c r="G3697" s="19"/>
      <c r="N3697" s="19"/>
      <c r="P3697" s="19"/>
      <c r="AL3697" s="19"/>
    </row>
    <row r="3698" spans="1:38" s="11" customFormat="1" x14ac:dyDescent="0.25">
      <c r="A3698" s="3"/>
      <c r="F3698" s="19"/>
      <c r="G3698" s="19"/>
      <c r="N3698" s="19"/>
      <c r="P3698" s="19"/>
      <c r="AL3698" s="19"/>
    </row>
    <row r="3699" spans="1:38" s="11" customFormat="1" x14ac:dyDescent="0.25">
      <c r="A3699" s="3"/>
      <c r="F3699" s="19"/>
      <c r="G3699" s="19"/>
      <c r="N3699" s="19"/>
      <c r="P3699" s="19"/>
      <c r="AL3699" s="19"/>
    </row>
    <row r="3700" spans="1:38" s="11" customFormat="1" x14ac:dyDescent="0.25">
      <c r="A3700" s="3"/>
      <c r="F3700" s="19"/>
      <c r="G3700" s="19"/>
      <c r="N3700" s="19"/>
      <c r="P3700" s="19"/>
      <c r="AL3700" s="19"/>
    </row>
    <row r="3701" spans="1:38" s="11" customFormat="1" x14ac:dyDescent="0.25">
      <c r="A3701" s="3"/>
      <c r="F3701" s="19"/>
      <c r="G3701" s="19"/>
      <c r="N3701" s="19"/>
      <c r="P3701" s="19"/>
      <c r="AL3701" s="19"/>
    </row>
    <row r="3702" spans="1:38" s="11" customFormat="1" x14ac:dyDescent="0.25">
      <c r="A3702" s="3"/>
      <c r="F3702" s="19"/>
      <c r="G3702" s="19"/>
      <c r="N3702" s="19"/>
      <c r="P3702" s="19"/>
      <c r="AL3702" s="19"/>
    </row>
    <row r="3703" spans="1:38" s="11" customFormat="1" x14ac:dyDescent="0.25">
      <c r="A3703" s="3"/>
      <c r="F3703" s="19"/>
      <c r="G3703" s="19"/>
      <c r="N3703" s="19"/>
      <c r="P3703" s="19"/>
      <c r="AL3703" s="19"/>
    </row>
    <row r="3704" spans="1:38" s="11" customFormat="1" x14ac:dyDescent="0.25">
      <c r="A3704" s="3"/>
      <c r="F3704" s="19"/>
      <c r="G3704" s="19"/>
      <c r="N3704" s="19"/>
      <c r="P3704" s="19"/>
      <c r="AL3704" s="19"/>
    </row>
    <row r="3705" spans="1:38" s="11" customFormat="1" x14ac:dyDescent="0.25">
      <c r="A3705" s="3"/>
      <c r="F3705" s="19"/>
      <c r="G3705" s="19"/>
      <c r="N3705" s="19"/>
      <c r="P3705" s="19"/>
      <c r="AL3705" s="19"/>
    </row>
    <row r="3706" spans="1:38" s="11" customFormat="1" x14ac:dyDescent="0.25">
      <c r="A3706" s="3"/>
      <c r="F3706" s="19"/>
      <c r="G3706" s="19"/>
      <c r="N3706" s="19"/>
      <c r="P3706" s="19"/>
      <c r="AL3706" s="19"/>
    </row>
    <row r="3707" spans="1:38" s="11" customFormat="1" x14ac:dyDescent="0.25">
      <c r="A3707" s="3"/>
      <c r="F3707" s="19"/>
      <c r="G3707" s="19"/>
      <c r="N3707" s="19"/>
      <c r="P3707" s="19"/>
      <c r="AL3707" s="19"/>
    </row>
    <row r="3708" spans="1:38" s="11" customFormat="1" x14ac:dyDescent="0.25">
      <c r="A3708" s="3"/>
      <c r="F3708" s="19"/>
      <c r="G3708" s="19"/>
      <c r="N3708" s="19"/>
      <c r="P3708" s="19"/>
      <c r="AL3708" s="19"/>
    </row>
    <row r="3709" spans="1:38" s="11" customFormat="1" x14ac:dyDescent="0.25">
      <c r="A3709" s="3"/>
      <c r="F3709" s="19"/>
      <c r="G3709" s="19"/>
      <c r="N3709" s="19"/>
      <c r="P3709" s="19"/>
      <c r="AL3709" s="19"/>
    </row>
    <row r="3710" spans="1:38" s="11" customFormat="1" x14ac:dyDescent="0.25">
      <c r="A3710" s="3"/>
      <c r="F3710" s="19"/>
      <c r="G3710" s="19"/>
      <c r="N3710" s="19"/>
      <c r="P3710" s="19"/>
      <c r="AL3710" s="19"/>
    </row>
    <row r="3711" spans="1:38" s="11" customFormat="1" x14ac:dyDescent="0.25">
      <c r="A3711" s="3"/>
      <c r="F3711" s="19"/>
      <c r="G3711" s="19"/>
      <c r="N3711" s="19"/>
      <c r="P3711" s="19"/>
      <c r="AL3711" s="19"/>
    </row>
    <row r="3712" spans="1:38" s="11" customFormat="1" x14ac:dyDescent="0.25">
      <c r="A3712" s="3"/>
      <c r="F3712" s="19"/>
      <c r="G3712" s="19"/>
      <c r="N3712" s="19"/>
      <c r="P3712" s="19"/>
      <c r="AL3712" s="19"/>
    </row>
    <row r="3713" spans="1:38" s="11" customFormat="1" x14ac:dyDescent="0.25">
      <c r="A3713" s="3"/>
      <c r="F3713" s="19"/>
      <c r="G3713" s="19"/>
      <c r="N3713" s="19"/>
      <c r="P3713" s="19"/>
      <c r="AL3713" s="19"/>
    </row>
    <row r="3714" spans="1:38" s="11" customFormat="1" x14ac:dyDescent="0.25">
      <c r="A3714" s="3"/>
      <c r="F3714" s="19"/>
      <c r="G3714" s="19"/>
      <c r="N3714" s="19"/>
      <c r="P3714" s="19"/>
      <c r="AL3714" s="19"/>
    </row>
    <row r="3715" spans="1:38" s="11" customFormat="1" x14ac:dyDescent="0.25">
      <c r="A3715" s="3"/>
      <c r="F3715" s="19"/>
      <c r="G3715" s="19"/>
      <c r="N3715" s="19"/>
      <c r="P3715" s="19"/>
      <c r="AL3715" s="19"/>
    </row>
    <row r="3716" spans="1:38" s="11" customFormat="1" x14ac:dyDescent="0.25">
      <c r="A3716" s="3"/>
      <c r="F3716" s="19"/>
      <c r="G3716" s="19"/>
      <c r="N3716" s="19"/>
      <c r="P3716" s="19"/>
      <c r="AL3716" s="19"/>
    </row>
    <row r="3717" spans="1:38" s="11" customFormat="1" x14ac:dyDescent="0.25">
      <c r="A3717" s="3"/>
      <c r="F3717" s="19"/>
      <c r="G3717" s="19"/>
      <c r="N3717" s="19"/>
      <c r="P3717" s="19"/>
      <c r="AL3717" s="19"/>
    </row>
    <row r="3718" spans="1:38" s="11" customFormat="1" x14ac:dyDescent="0.25">
      <c r="A3718" s="3"/>
      <c r="F3718" s="19"/>
      <c r="G3718" s="19"/>
      <c r="N3718" s="19"/>
      <c r="P3718" s="19"/>
      <c r="AL3718" s="19"/>
    </row>
    <row r="3719" spans="1:38" s="11" customFormat="1" x14ac:dyDescent="0.25">
      <c r="A3719" s="3"/>
      <c r="F3719" s="19"/>
      <c r="G3719" s="19"/>
      <c r="N3719" s="19"/>
      <c r="P3719" s="19"/>
      <c r="AL3719" s="19"/>
    </row>
    <row r="3720" spans="1:38" s="11" customFormat="1" x14ac:dyDescent="0.25">
      <c r="A3720" s="3"/>
      <c r="F3720" s="19"/>
      <c r="G3720" s="19"/>
      <c r="N3720" s="19"/>
      <c r="P3720" s="19"/>
      <c r="AL3720" s="19"/>
    </row>
    <row r="3721" spans="1:38" s="11" customFormat="1" x14ac:dyDescent="0.25">
      <c r="A3721" s="3"/>
      <c r="F3721" s="19"/>
      <c r="G3721" s="19"/>
      <c r="N3721" s="19"/>
      <c r="P3721" s="19"/>
      <c r="AL3721" s="19"/>
    </row>
    <row r="3722" spans="1:38" s="11" customFormat="1" x14ac:dyDescent="0.25">
      <c r="A3722" s="3"/>
      <c r="F3722" s="19"/>
      <c r="G3722" s="19"/>
      <c r="N3722" s="19"/>
      <c r="P3722" s="19"/>
      <c r="AL3722" s="19"/>
    </row>
    <row r="3723" spans="1:38" s="11" customFormat="1" x14ac:dyDescent="0.25">
      <c r="A3723" s="3"/>
      <c r="F3723" s="19"/>
      <c r="G3723" s="19"/>
      <c r="N3723" s="19"/>
      <c r="P3723" s="19"/>
      <c r="AL3723" s="19"/>
    </row>
    <row r="3724" spans="1:38" s="11" customFormat="1" x14ac:dyDescent="0.25">
      <c r="A3724" s="3"/>
      <c r="F3724" s="19"/>
      <c r="G3724" s="19"/>
      <c r="N3724" s="19"/>
      <c r="P3724" s="19"/>
      <c r="AL3724" s="19"/>
    </row>
    <row r="3725" spans="1:38" s="11" customFormat="1" x14ac:dyDescent="0.25">
      <c r="A3725" s="3"/>
      <c r="F3725" s="19"/>
      <c r="G3725" s="19"/>
      <c r="N3725" s="19"/>
      <c r="P3725" s="19"/>
      <c r="AL3725" s="19"/>
    </row>
    <row r="3726" spans="1:38" s="11" customFormat="1" x14ac:dyDescent="0.25">
      <c r="A3726" s="3"/>
      <c r="F3726" s="19"/>
      <c r="G3726" s="19"/>
      <c r="N3726" s="19"/>
      <c r="P3726" s="19"/>
      <c r="AL3726" s="19"/>
    </row>
    <row r="3727" spans="1:38" s="11" customFormat="1" x14ac:dyDescent="0.25">
      <c r="A3727" s="3"/>
      <c r="F3727" s="19"/>
      <c r="G3727" s="19"/>
      <c r="N3727" s="19"/>
      <c r="P3727" s="19"/>
      <c r="AL3727" s="19"/>
    </row>
    <row r="3728" spans="1:38" s="11" customFormat="1" x14ac:dyDescent="0.25">
      <c r="A3728" s="3"/>
      <c r="F3728" s="19"/>
      <c r="G3728" s="19"/>
      <c r="N3728" s="19"/>
      <c r="P3728" s="19"/>
      <c r="AL3728" s="19"/>
    </row>
    <row r="3729" spans="1:38" s="11" customFormat="1" x14ac:dyDescent="0.25">
      <c r="A3729" s="3"/>
      <c r="F3729" s="19"/>
      <c r="G3729" s="19"/>
      <c r="N3729" s="19"/>
      <c r="P3729" s="19"/>
      <c r="AL3729" s="19"/>
    </row>
    <row r="3730" spans="1:38" s="11" customFormat="1" x14ac:dyDescent="0.25">
      <c r="A3730" s="3"/>
      <c r="F3730" s="19"/>
      <c r="G3730" s="19"/>
      <c r="N3730" s="19"/>
      <c r="P3730" s="19"/>
      <c r="AL3730" s="19"/>
    </row>
    <row r="3731" spans="1:38" s="11" customFormat="1" x14ac:dyDescent="0.25">
      <c r="A3731" s="3"/>
      <c r="F3731" s="19"/>
      <c r="G3731" s="19"/>
      <c r="N3731" s="19"/>
      <c r="P3731" s="19"/>
      <c r="AL3731" s="19"/>
    </row>
    <row r="3732" spans="1:38" s="11" customFormat="1" x14ac:dyDescent="0.25">
      <c r="A3732" s="3"/>
      <c r="F3732" s="19"/>
      <c r="G3732" s="19"/>
      <c r="N3732" s="19"/>
      <c r="P3732" s="19"/>
      <c r="AL3732" s="19"/>
    </row>
    <row r="3733" spans="1:38" s="11" customFormat="1" x14ac:dyDescent="0.25">
      <c r="A3733" s="3"/>
      <c r="F3733" s="19"/>
      <c r="G3733" s="19"/>
      <c r="N3733" s="19"/>
      <c r="P3733" s="19"/>
      <c r="AL3733" s="19"/>
    </row>
    <row r="3734" spans="1:38" s="11" customFormat="1" x14ac:dyDescent="0.25">
      <c r="A3734" s="3"/>
      <c r="F3734" s="19"/>
      <c r="G3734" s="19"/>
      <c r="N3734" s="19"/>
      <c r="P3734" s="19"/>
      <c r="AL3734" s="19"/>
    </row>
    <row r="3735" spans="1:38" s="11" customFormat="1" x14ac:dyDescent="0.25">
      <c r="A3735" s="3"/>
      <c r="F3735" s="19"/>
      <c r="G3735" s="19"/>
      <c r="N3735" s="19"/>
      <c r="P3735" s="19"/>
      <c r="AL3735" s="19"/>
    </row>
    <row r="3736" spans="1:38" s="11" customFormat="1" x14ac:dyDescent="0.25">
      <c r="A3736" s="3"/>
      <c r="F3736" s="19"/>
      <c r="G3736" s="19"/>
      <c r="N3736" s="19"/>
      <c r="P3736" s="19"/>
      <c r="AL3736" s="19"/>
    </row>
    <row r="3737" spans="1:38" s="11" customFormat="1" x14ac:dyDescent="0.25">
      <c r="A3737" s="3"/>
      <c r="F3737" s="19"/>
      <c r="G3737" s="19"/>
      <c r="N3737" s="19"/>
      <c r="P3737" s="19"/>
      <c r="AL3737" s="19"/>
    </row>
    <row r="3738" spans="1:38" s="11" customFormat="1" x14ac:dyDescent="0.25">
      <c r="A3738" s="3"/>
      <c r="F3738" s="19"/>
      <c r="G3738" s="19"/>
      <c r="N3738" s="19"/>
      <c r="P3738" s="19"/>
      <c r="AL3738" s="19"/>
    </row>
    <row r="3739" spans="1:38" s="11" customFormat="1" x14ac:dyDescent="0.25">
      <c r="A3739" s="3"/>
      <c r="F3739" s="19"/>
      <c r="G3739" s="19"/>
      <c r="N3739" s="19"/>
      <c r="P3739" s="19"/>
      <c r="AL3739" s="19"/>
    </row>
    <row r="3740" spans="1:38" s="11" customFormat="1" x14ac:dyDescent="0.25">
      <c r="A3740" s="3"/>
      <c r="F3740" s="19"/>
      <c r="G3740" s="19"/>
      <c r="N3740" s="19"/>
      <c r="P3740" s="19"/>
      <c r="AL3740" s="19"/>
    </row>
    <row r="3741" spans="1:38" s="11" customFormat="1" x14ac:dyDescent="0.25">
      <c r="A3741" s="3"/>
      <c r="F3741" s="19"/>
      <c r="G3741" s="19"/>
      <c r="N3741" s="19"/>
      <c r="P3741" s="19"/>
      <c r="AL3741" s="19"/>
    </row>
    <row r="3742" spans="1:38" s="11" customFormat="1" x14ac:dyDescent="0.25">
      <c r="A3742" s="3"/>
      <c r="F3742" s="19"/>
      <c r="G3742" s="19"/>
      <c r="N3742" s="19"/>
      <c r="P3742" s="19"/>
      <c r="AL3742" s="19"/>
    </row>
    <row r="3743" spans="1:38" s="11" customFormat="1" x14ac:dyDescent="0.25">
      <c r="A3743" s="3"/>
      <c r="F3743" s="19"/>
      <c r="G3743" s="19"/>
      <c r="N3743" s="19"/>
      <c r="P3743" s="19"/>
      <c r="AL3743" s="19"/>
    </row>
    <row r="3744" spans="1:38" s="11" customFormat="1" x14ac:dyDescent="0.25">
      <c r="A3744" s="3"/>
      <c r="F3744" s="19"/>
      <c r="G3744" s="19"/>
      <c r="N3744" s="19"/>
      <c r="P3744" s="19"/>
      <c r="AL3744" s="19"/>
    </row>
    <row r="3745" spans="1:38" s="11" customFormat="1" x14ac:dyDescent="0.25">
      <c r="A3745" s="3"/>
      <c r="F3745" s="19"/>
      <c r="G3745" s="19"/>
      <c r="N3745" s="19"/>
      <c r="P3745" s="19"/>
      <c r="AL3745" s="19"/>
    </row>
    <row r="3746" spans="1:38" s="11" customFormat="1" x14ac:dyDescent="0.25">
      <c r="A3746" s="3"/>
      <c r="F3746" s="19"/>
      <c r="G3746" s="19"/>
      <c r="N3746" s="19"/>
      <c r="P3746" s="19"/>
      <c r="AL3746" s="19"/>
    </row>
    <row r="3747" spans="1:38" s="11" customFormat="1" x14ac:dyDescent="0.25">
      <c r="A3747" s="3"/>
      <c r="F3747" s="19"/>
      <c r="G3747" s="19"/>
      <c r="N3747" s="19"/>
      <c r="P3747" s="19"/>
      <c r="AL3747" s="19"/>
    </row>
    <row r="3748" spans="1:38" s="11" customFormat="1" x14ac:dyDescent="0.25">
      <c r="A3748" s="3"/>
      <c r="F3748" s="19"/>
      <c r="G3748" s="19"/>
      <c r="N3748" s="19"/>
      <c r="P3748" s="19"/>
      <c r="AL3748" s="19"/>
    </row>
    <row r="3749" spans="1:38" s="11" customFormat="1" x14ac:dyDescent="0.25">
      <c r="A3749" s="3"/>
      <c r="F3749" s="19"/>
      <c r="G3749" s="19"/>
      <c r="N3749" s="19"/>
      <c r="P3749" s="19"/>
      <c r="AL3749" s="19"/>
    </row>
    <row r="3750" spans="1:38" s="11" customFormat="1" x14ac:dyDescent="0.25">
      <c r="A3750" s="3"/>
      <c r="F3750" s="19"/>
      <c r="G3750" s="19"/>
      <c r="N3750" s="19"/>
      <c r="P3750" s="19"/>
      <c r="AL3750" s="19"/>
    </row>
    <row r="3751" spans="1:38" s="11" customFormat="1" x14ac:dyDescent="0.25">
      <c r="A3751" s="3"/>
      <c r="F3751" s="19"/>
      <c r="G3751" s="19"/>
      <c r="N3751" s="19"/>
      <c r="P3751" s="19"/>
      <c r="AL3751" s="19"/>
    </row>
    <row r="3752" spans="1:38" s="11" customFormat="1" x14ac:dyDescent="0.25">
      <c r="A3752" s="3"/>
      <c r="F3752" s="19"/>
      <c r="G3752" s="19"/>
      <c r="N3752" s="19"/>
      <c r="P3752" s="19"/>
      <c r="AL3752" s="19"/>
    </row>
    <row r="3753" spans="1:38" s="11" customFormat="1" x14ac:dyDescent="0.25">
      <c r="A3753" s="3"/>
      <c r="F3753" s="19"/>
      <c r="G3753" s="19"/>
      <c r="N3753" s="19"/>
      <c r="P3753" s="19"/>
      <c r="AL3753" s="19"/>
    </row>
    <row r="3754" spans="1:38" s="11" customFormat="1" x14ac:dyDescent="0.25">
      <c r="A3754" s="3"/>
      <c r="F3754" s="19"/>
      <c r="G3754" s="19"/>
      <c r="N3754" s="19"/>
      <c r="P3754" s="19"/>
      <c r="AL3754" s="19"/>
    </row>
    <row r="3755" spans="1:38" s="11" customFormat="1" x14ac:dyDescent="0.25">
      <c r="A3755" s="3"/>
      <c r="F3755" s="19"/>
      <c r="G3755" s="19"/>
      <c r="N3755" s="19"/>
      <c r="P3755" s="19"/>
      <c r="AL3755" s="19"/>
    </row>
    <row r="3756" spans="1:38" s="11" customFormat="1" x14ac:dyDescent="0.25">
      <c r="A3756" s="3"/>
      <c r="F3756" s="19"/>
      <c r="G3756" s="19"/>
      <c r="N3756" s="19"/>
      <c r="P3756" s="19"/>
      <c r="AL3756" s="19"/>
    </row>
    <row r="3757" spans="1:38" s="11" customFormat="1" x14ac:dyDescent="0.25">
      <c r="A3757" s="3"/>
      <c r="F3757" s="19"/>
      <c r="G3757" s="19"/>
      <c r="N3757" s="19"/>
      <c r="P3757" s="19"/>
      <c r="AL3757" s="19"/>
    </row>
    <row r="3758" spans="1:38" s="11" customFormat="1" x14ac:dyDescent="0.25">
      <c r="A3758" s="3"/>
      <c r="F3758" s="19"/>
      <c r="G3758" s="19"/>
      <c r="N3758" s="19"/>
      <c r="P3758" s="19"/>
      <c r="AL3758" s="19"/>
    </row>
    <row r="3759" spans="1:38" s="11" customFormat="1" x14ac:dyDescent="0.25">
      <c r="A3759" s="3"/>
      <c r="F3759" s="19"/>
      <c r="G3759" s="19"/>
      <c r="N3759" s="19"/>
      <c r="P3759" s="19"/>
      <c r="AL3759" s="19"/>
    </row>
    <row r="3760" spans="1:38" s="11" customFormat="1" x14ac:dyDescent="0.25">
      <c r="A3760" s="3"/>
      <c r="F3760" s="19"/>
      <c r="G3760" s="19"/>
      <c r="N3760" s="19"/>
      <c r="P3760" s="19"/>
      <c r="AL3760" s="19"/>
    </row>
    <row r="3761" spans="1:38" s="11" customFormat="1" x14ac:dyDescent="0.25">
      <c r="A3761" s="3"/>
      <c r="F3761" s="19"/>
      <c r="G3761" s="19"/>
      <c r="N3761" s="19"/>
      <c r="P3761" s="19"/>
      <c r="AL3761" s="19"/>
    </row>
    <row r="3762" spans="1:38" s="11" customFormat="1" x14ac:dyDescent="0.25">
      <c r="A3762" s="3"/>
      <c r="F3762" s="19"/>
      <c r="G3762" s="19"/>
      <c r="N3762" s="19"/>
      <c r="P3762" s="19"/>
      <c r="AL3762" s="19"/>
    </row>
    <row r="3763" spans="1:38" s="11" customFormat="1" x14ac:dyDescent="0.25">
      <c r="A3763" s="3"/>
      <c r="F3763" s="19"/>
      <c r="G3763" s="19"/>
      <c r="N3763" s="19"/>
      <c r="P3763" s="19"/>
      <c r="AL3763" s="19"/>
    </row>
    <row r="3764" spans="1:38" s="11" customFormat="1" x14ac:dyDescent="0.25">
      <c r="A3764" s="3"/>
      <c r="F3764" s="19"/>
      <c r="G3764" s="19"/>
      <c r="N3764" s="19"/>
      <c r="P3764" s="19"/>
      <c r="AL3764" s="19"/>
    </row>
    <row r="3765" spans="1:38" s="11" customFormat="1" x14ac:dyDescent="0.25">
      <c r="A3765" s="3"/>
      <c r="F3765" s="19"/>
      <c r="G3765" s="19"/>
      <c r="N3765" s="19"/>
      <c r="P3765" s="19"/>
      <c r="AL3765" s="19"/>
    </row>
    <row r="3766" spans="1:38" s="11" customFormat="1" x14ac:dyDescent="0.25">
      <c r="A3766" s="3"/>
      <c r="F3766" s="19"/>
      <c r="G3766" s="19"/>
      <c r="N3766" s="19"/>
      <c r="P3766" s="19"/>
      <c r="AL3766" s="19"/>
    </row>
    <row r="3767" spans="1:38" s="11" customFormat="1" x14ac:dyDescent="0.25">
      <c r="A3767" s="3"/>
      <c r="F3767" s="19"/>
      <c r="G3767" s="19"/>
      <c r="N3767" s="19"/>
      <c r="P3767" s="19"/>
      <c r="AL3767" s="19"/>
    </row>
    <row r="3768" spans="1:38" s="11" customFormat="1" x14ac:dyDescent="0.25">
      <c r="A3768" s="3"/>
      <c r="F3768" s="19"/>
      <c r="G3768" s="19"/>
      <c r="N3768" s="19"/>
      <c r="P3768" s="19"/>
      <c r="AL3768" s="19"/>
    </row>
    <row r="3769" spans="1:38" s="11" customFormat="1" x14ac:dyDescent="0.25">
      <c r="A3769" s="3"/>
      <c r="F3769" s="19"/>
      <c r="G3769" s="19"/>
      <c r="N3769" s="19"/>
      <c r="P3769" s="19"/>
      <c r="AL3769" s="19"/>
    </row>
    <row r="3770" spans="1:38" s="11" customFormat="1" x14ac:dyDescent="0.25">
      <c r="A3770" s="3"/>
      <c r="F3770" s="19"/>
      <c r="G3770" s="19"/>
      <c r="N3770" s="19"/>
      <c r="P3770" s="19"/>
      <c r="AL3770" s="19"/>
    </row>
    <row r="3771" spans="1:38" s="11" customFormat="1" x14ac:dyDescent="0.25">
      <c r="A3771" s="3"/>
      <c r="F3771" s="19"/>
      <c r="G3771" s="19"/>
      <c r="N3771" s="19"/>
      <c r="P3771" s="19"/>
      <c r="AL3771" s="19"/>
    </row>
    <row r="3772" spans="1:38" s="11" customFormat="1" x14ac:dyDescent="0.25">
      <c r="A3772" s="3"/>
      <c r="F3772" s="19"/>
      <c r="G3772" s="19"/>
      <c r="N3772" s="19"/>
      <c r="P3772" s="19"/>
      <c r="AL3772" s="19"/>
    </row>
    <row r="3773" spans="1:38" s="11" customFormat="1" x14ac:dyDescent="0.25">
      <c r="A3773" s="3"/>
      <c r="F3773" s="19"/>
      <c r="G3773" s="19"/>
      <c r="N3773" s="19"/>
      <c r="P3773" s="19"/>
      <c r="AL3773" s="19"/>
    </row>
    <row r="3774" spans="1:38" s="11" customFormat="1" x14ac:dyDescent="0.25">
      <c r="A3774" s="3"/>
      <c r="F3774" s="19"/>
      <c r="G3774" s="19"/>
      <c r="N3774" s="19"/>
      <c r="P3774" s="19"/>
      <c r="AL3774" s="19"/>
    </row>
    <row r="3775" spans="1:38" s="11" customFormat="1" x14ac:dyDescent="0.25">
      <c r="A3775" s="3"/>
      <c r="F3775" s="19"/>
      <c r="G3775" s="19"/>
      <c r="N3775" s="19"/>
      <c r="P3775" s="19"/>
      <c r="AL3775" s="19"/>
    </row>
    <row r="3776" spans="1:38" s="11" customFormat="1" x14ac:dyDescent="0.25">
      <c r="A3776" s="3"/>
      <c r="F3776" s="19"/>
      <c r="G3776" s="19"/>
      <c r="N3776" s="19"/>
      <c r="P3776" s="19"/>
      <c r="AL3776" s="19"/>
    </row>
    <row r="3777" spans="1:38" s="11" customFormat="1" x14ac:dyDescent="0.25">
      <c r="A3777" s="3"/>
      <c r="F3777" s="19"/>
      <c r="G3777" s="19"/>
      <c r="N3777" s="19"/>
      <c r="P3777" s="19"/>
      <c r="AL3777" s="19"/>
    </row>
    <row r="3778" spans="1:38" s="11" customFormat="1" x14ac:dyDescent="0.25">
      <c r="A3778" s="3"/>
      <c r="F3778" s="19"/>
      <c r="G3778" s="19"/>
      <c r="N3778" s="19"/>
      <c r="P3778" s="19"/>
      <c r="AL3778" s="19"/>
    </row>
    <row r="3779" spans="1:38" s="11" customFormat="1" x14ac:dyDescent="0.25">
      <c r="A3779" s="3"/>
      <c r="F3779" s="19"/>
      <c r="G3779" s="19"/>
      <c r="N3779" s="19"/>
      <c r="P3779" s="19"/>
      <c r="AL3779" s="19"/>
    </row>
    <row r="3780" spans="1:38" s="11" customFormat="1" x14ac:dyDescent="0.25">
      <c r="A3780" s="3"/>
      <c r="F3780" s="19"/>
      <c r="G3780" s="19"/>
      <c r="N3780" s="19"/>
      <c r="P3780" s="19"/>
      <c r="AL3780" s="19"/>
    </row>
    <row r="3781" spans="1:38" s="11" customFormat="1" x14ac:dyDescent="0.25">
      <c r="A3781" s="3"/>
      <c r="F3781" s="19"/>
      <c r="G3781" s="19"/>
      <c r="N3781" s="19"/>
      <c r="P3781" s="19"/>
      <c r="AL3781" s="19"/>
    </row>
    <row r="3782" spans="1:38" s="11" customFormat="1" x14ac:dyDescent="0.25">
      <c r="A3782" s="3"/>
      <c r="F3782" s="19"/>
      <c r="G3782" s="19"/>
      <c r="N3782" s="19"/>
      <c r="P3782" s="19"/>
      <c r="AL3782" s="19"/>
    </row>
    <row r="3783" spans="1:38" s="11" customFormat="1" x14ac:dyDescent="0.25">
      <c r="A3783" s="3"/>
      <c r="F3783" s="19"/>
      <c r="G3783" s="19"/>
      <c r="N3783" s="19"/>
      <c r="P3783" s="19"/>
      <c r="AL3783" s="19"/>
    </row>
    <row r="3784" spans="1:38" s="11" customFormat="1" x14ac:dyDescent="0.25">
      <c r="A3784" s="3"/>
      <c r="F3784" s="19"/>
      <c r="G3784" s="19"/>
      <c r="N3784" s="19"/>
      <c r="P3784" s="19"/>
      <c r="AL3784" s="19"/>
    </row>
    <row r="3785" spans="1:38" s="11" customFormat="1" x14ac:dyDescent="0.25">
      <c r="A3785" s="3"/>
      <c r="F3785" s="19"/>
      <c r="G3785" s="19"/>
      <c r="N3785" s="19"/>
      <c r="P3785" s="19"/>
      <c r="AL3785" s="19"/>
    </row>
    <row r="3786" spans="1:38" s="11" customFormat="1" x14ac:dyDescent="0.25">
      <c r="A3786" s="3"/>
      <c r="F3786" s="19"/>
      <c r="G3786" s="19"/>
      <c r="N3786" s="19"/>
      <c r="P3786" s="19"/>
      <c r="AL3786" s="19"/>
    </row>
    <row r="3787" spans="1:38" s="11" customFormat="1" x14ac:dyDescent="0.25">
      <c r="A3787" s="3"/>
      <c r="F3787" s="19"/>
      <c r="G3787" s="19"/>
      <c r="N3787" s="19"/>
      <c r="P3787" s="19"/>
      <c r="AL3787" s="19"/>
    </row>
    <row r="3788" spans="1:38" s="11" customFormat="1" x14ac:dyDescent="0.25">
      <c r="A3788" s="3"/>
      <c r="F3788" s="19"/>
      <c r="G3788" s="19"/>
      <c r="N3788" s="19"/>
      <c r="P3788" s="19"/>
      <c r="AL3788" s="19"/>
    </row>
    <row r="3789" spans="1:38" s="11" customFormat="1" x14ac:dyDescent="0.25">
      <c r="A3789" s="3"/>
      <c r="F3789" s="19"/>
      <c r="G3789" s="19"/>
      <c r="N3789" s="19"/>
      <c r="P3789" s="19"/>
      <c r="AL3789" s="19"/>
    </row>
    <row r="3790" spans="1:38" s="11" customFormat="1" x14ac:dyDescent="0.25">
      <c r="A3790" s="3"/>
      <c r="F3790" s="19"/>
      <c r="G3790" s="19"/>
      <c r="N3790" s="19"/>
      <c r="P3790" s="19"/>
      <c r="AL3790" s="19"/>
    </row>
    <row r="3791" spans="1:38" s="11" customFormat="1" x14ac:dyDescent="0.25">
      <c r="A3791" s="3"/>
      <c r="F3791" s="19"/>
      <c r="G3791" s="19"/>
      <c r="N3791" s="19"/>
      <c r="P3791" s="19"/>
      <c r="AL3791" s="19"/>
    </row>
    <row r="3792" spans="1:38" s="11" customFormat="1" x14ac:dyDescent="0.25">
      <c r="A3792" s="3"/>
      <c r="F3792" s="19"/>
      <c r="G3792" s="19"/>
      <c r="N3792" s="19"/>
      <c r="P3792" s="19"/>
      <c r="AL3792" s="19"/>
    </row>
    <row r="3793" spans="1:38" s="11" customFormat="1" x14ac:dyDescent="0.25">
      <c r="A3793" s="3"/>
      <c r="F3793" s="19"/>
      <c r="G3793" s="19"/>
      <c r="N3793" s="19"/>
      <c r="P3793" s="19"/>
      <c r="AL3793" s="19"/>
    </row>
    <row r="3794" spans="1:38" s="11" customFormat="1" x14ac:dyDescent="0.25">
      <c r="A3794" s="3"/>
      <c r="F3794" s="19"/>
      <c r="G3794" s="19"/>
      <c r="N3794" s="19"/>
      <c r="P3794" s="19"/>
      <c r="AL3794" s="19"/>
    </row>
    <row r="3795" spans="1:38" s="11" customFormat="1" x14ac:dyDescent="0.25">
      <c r="A3795" s="3"/>
      <c r="F3795" s="19"/>
      <c r="G3795" s="19"/>
      <c r="N3795" s="19"/>
      <c r="P3795" s="19"/>
      <c r="AL3795" s="19"/>
    </row>
    <row r="3796" spans="1:38" s="11" customFormat="1" x14ac:dyDescent="0.25">
      <c r="A3796" s="3"/>
      <c r="F3796" s="19"/>
      <c r="G3796" s="19"/>
      <c r="N3796" s="19"/>
      <c r="P3796" s="19"/>
      <c r="AL3796" s="19"/>
    </row>
    <row r="3797" spans="1:38" s="11" customFormat="1" x14ac:dyDescent="0.25">
      <c r="A3797" s="3"/>
      <c r="F3797" s="19"/>
      <c r="G3797" s="19"/>
      <c r="N3797" s="19"/>
      <c r="P3797" s="19"/>
      <c r="AL3797" s="19"/>
    </row>
    <row r="3798" spans="1:38" s="11" customFormat="1" x14ac:dyDescent="0.25">
      <c r="A3798" s="3"/>
      <c r="F3798" s="19"/>
      <c r="G3798" s="19"/>
      <c r="N3798" s="19"/>
      <c r="P3798" s="19"/>
      <c r="AL3798" s="19"/>
    </row>
    <row r="3799" spans="1:38" s="11" customFormat="1" x14ac:dyDescent="0.25">
      <c r="A3799" s="3"/>
      <c r="F3799" s="19"/>
      <c r="G3799" s="19"/>
      <c r="N3799" s="19"/>
      <c r="P3799" s="19"/>
      <c r="AL3799" s="19"/>
    </row>
    <row r="3800" spans="1:38" s="11" customFormat="1" x14ac:dyDescent="0.25">
      <c r="A3800" s="3"/>
      <c r="F3800" s="19"/>
      <c r="G3800" s="19"/>
      <c r="N3800" s="19"/>
      <c r="P3800" s="19"/>
      <c r="AL3800" s="19"/>
    </row>
    <row r="3801" spans="1:38" s="11" customFormat="1" x14ac:dyDescent="0.25">
      <c r="A3801" s="3"/>
      <c r="F3801" s="19"/>
      <c r="G3801" s="19"/>
      <c r="N3801" s="19"/>
      <c r="P3801" s="19"/>
      <c r="AL3801" s="19"/>
    </row>
    <row r="3802" spans="1:38" s="11" customFormat="1" x14ac:dyDescent="0.25">
      <c r="A3802" s="3"/>
      <c r="F3802" s="19"/>
      <c r="G3802" s="19"/>
      <c r="N3802" s="19"/>
      <c r="P3802" s="19"/>
      <c r="AL3802" s="19"/>
    </row>
    <row r="3803" spans="1:38" s="11" customFormat="1" x14ac:dyDescent="0.25">
      <c r="A3803" s="3"/>
      <c r="F3803" s="19"/>
      <c r="G3803" s="19"/>
      <c r="N3803" s="19"/>
      <c r="P3803" s="19"/>
      <c r="AL3803" s="19"/>
    </row>
    <row r="3804" spans="1:38" s="11" customFormat="1" x14ac:dyDescent="0.25">
      <c r="A3804" s="3"/>
      <c r="F3804" s="19"/>
      <c r="G3804" s="19"/>
      <c r="N3804" s="19"/>
      <c r="P3804" s="19"/>
      <c r="AL3804" s="19"/>
    </row>
    <row r="3805" spans="1:38" s="11" customFormat="1" x14ac:dyDescent="0.25">
      <c r="A3805" s="3"/>
      <c r="F3805" s="19"/>
      <c r="G3805" s="19"/>
      <c r="N3805" s="19"/>
      <c r="P3805" s="19"/>
      <c r="AL3805" s="19"/>
    </row>
    <row r="3806" spans="1:38" s="11" customFormat="1" x14ac:dyDescent="0.25">
      <c r="A3806" s="3"/>
      <c r="F3806" s="19"/>
      <c r="G3806" s="19"/>
      <c r="N3806" s="19"/>
      <c r="P3806" s="19"/>
      <c r="AL3806" s="19"/>
    </row>
    <row r="3807" spans="1:38" s="11" customFormat="1" x14ac:dyDescent="0.25">
      <c r="A3807" s="3"/>
      <c r="F3807" s="19"/>
      <c r="G3807" s="19"/>
      <c r="N3807" s="19"/>
      <c r="P3807" s="19"/>
      <c r="AL3807" s="19"/>
    </row>
    <row r="3808" spans="1:38" s="11" customFormat="1" x14ac:dyDescent="0.25">
      <c r="A3808" s="3"/>
      <c r="F3808" s="19"/>
      <c r="G3808" s="19"/>
      <c r="N3808" s="19"/>
      <c r="P3808" s="19"/>
      <c r="AL3808" s="19"/>
    </row>
    <row r="3809" spans="1:38" s="11" customFormat="1" x14ac:dyDescent="0.25">
      <c r="A3809" s="3"/>
      <c r="F3809" s="19"/>
      <c r="G3809" s="19"/>
      <c r="N3809" s="19"/>
      <c r="P3809" s="19"/>
      <c r="AL3809" s="19"/>
    </row>
    <row r="3810" spans="1:38" s="11" customFormat="1" x14ac:dyDescent="0.25">
      <c r="A3810" s="3"/>
      <c r="F3810" s="19"/>
      <c r="G3810" s="19"/>
      <c r="N3810" s="19"/>
      <c r="P3810" s="19"/>
      <c r="AL3810" s="19"/>
    </row>
    <row r="3811" spans="1:38" s="11" customFormat="1" x14ac:dyDescent="0.25">
      <c r="A3811" s="3"/>
      <c r="F3811" s="19"/>
      <c r="G3811" s="19"/>
      <c r="N3811" s="19"/>
      <c r="P3811" s="19"/>
      <c r="AL3811" s="19"/>
    </row>
    <row r="3812" spans="1:38" s="11" customFormat="1" x14ac:dyDescent="0.25">
      <c r="A3812" s="3"/>
      <c r="F3812" s="19"/>
      <c r="G3812" s="19"/>
      <c r="N3812" s="19"/>
      <c r="P3812" s="19"/>
      <c r="AL3812" s="19"/>
    </row>
    <row r="3813" spans="1:38" s="11" customFormat="1" x14ac:dyDescent="0.25">
      <c r="A3813" s="3"/>
      <c r="F3813" s="19"/>
      <c r="G3813" s="19"/>
      <c r="N3813" s="19"/>
      <c r="P3813" s="19"/>
      <c r="AL3813" s="19"/>
    </row>
    <row r="3814" spans="1:38" s="11" customFormat="1" x14ac:dyDescent="0.25">
      <c r="A3814" s="3"/>
      <c r="F3814" s="19"/>
      <c r="G3814" s="19"/>
      <c r="N3814" s="19"/>
      <c r="P3814" s="19"/>
      <c r="AL3814" s="19"/>
    </row>
    <row r="3815" spans="1:38" s="11" customFormat="1" x14ac:dyDescent="0.25">
      <c r="A3815" s="3"/>
      <c r="F3815" s="19"/>
      <c r="G3815" s="19"/>
      <c r="N3815" s="19"/>
      <c r="P3815" s="19"/>
      <c r="AL3815" s="19"/>
    </row>
    <row r="3816" spans="1:38" s="11" customFormat="1" x14ac:dyDescent="0.25">
      <c r="A3816" s="3"/>
      <c r="F3816" s="19"/>
      <c r="G3816" s="19"/>
      <c r="N3816" s="19"/>
      <c r="P3816" s="19"/>
      <c r="AL3816" s="19"/>
    </row>
    <row r="3817" spans="1:38" s="11" customFormat="1" x14ac:dyDescent="0.25">
      <c r="A3817" s="3"/>
      <c r="F3817" s="19"/>
      <c r="G3817" s="19"/>
      <c r="N3817" s="19"/>
      <c r="P3817" s="19"/>
      <c r="AL3817" s="19"/>
    </row>
    <row r="3818" spans="1:38" s="11" customFormat="1" x14ac:dyDescent="0.25">
      <c r="A3818" s="3"/>
      <c r="F3818" s="19"/>
      <c r="G3818" s="19"/>
      <c r="N3818" s="19"/>
      <c r="P3818" s="19"/>
      <c r="AL3818" s="19"/>
    </row>
    <row r="3819" spans="1:38" s="11" customFormat="1" x14ac:dyDescent="0.25">
      <c r="A3819" s="3"/>
      <c r="F3819" s="19"/>
      <c r="G3819" s="19"/>
      <c r="N3819" s="19"/>
      <c r="P3819" s="19"/>
      <c r="AL3819" s="19"/>
    </row>
    <row r="3820" spans="1:38" s="11" customFormat="1" x14ac:dyDescent="0.25">
      <c r="A3820" s="3"/>
      <c r="F3820" s="19"/>
      <c r="G3820" s="19"/>
      <c r="N3820" s="19"/>
      <c r="P3820" s="19"/>
      <c r="AL3820" s="19"/>
    </row>
    <row r="3821" spans="1:38" s="11" customFormat="1" x14ac:dyDescent="0.25">
      <c r="A3821" s="3"/>
      <c r="F3821" s="19"/>
      <c r="G3821" s="19"/>
      <c r="N3821" s="19"/>
      <c r="P3821" s="19"/>
      <c r="AL3821" s="19"/>
    </row>
    <row r="3822" spans="1:38" s="11" customFormat="1" x14ac:dyDescent="0.25">
      <c r="A3822" s="3"/>
      <c r="F3822" s="19"/>
      <c r="G3822" s="19"/>
      <c r="N3822" s="19"/>
      <c r="P3822" s="19"/>
      <c r="AL3822" s="19"/>
    </row>
    <row r="3823" spans="1:38" s="11" customFormat="1" x14ac:dyDescent="0.25">
      <c r="A3823" s="3"/>
      <c r="F3823" s="19"/>
      <c r="G3823" s="19"/>
      <c r="N3823" s="19"/>
      <c r="P3823" s="19"/>
      <c r="AL3823" s="19"/>
    </row>
    <row r="3824" spans="1:38" s="11" customFormat="1" x14ac:dyDescent="0.25">
      <c r="A3824" s="3"/>
      <c r="F3824" s="19"/>
      <c r="G3824" s="19"/>
      <c r="N3824" s="19"/>
      <c r="P3824" s="19"/>
      <c r="AL3824" s="19"/>
    </row>
    <row r="3825" spans="1:38" s="11" customFormat="1" x14ac:dyDescent="0.25">
      <c r="A3825" s="3"/>
      <c r="F3825" s="19"/>
      <c r="G3825" s="19"/>
      <c r="N3825" s="19"/>
      <c r="P3825" s="19"/>
      <c r="AL3825" s="19"/>
    </row>
    <row r="3826" spans="1:38" s="11" customFormat="1" x14ac:dyDescent="0.25">
      <c r="A3826" s="3"/>
      <c r="F3826" s="19"/>
      <c r="G3826" s="19"/>
      <c r="N3826" s="19"/>
      <c r="P3826" s="19"/>
      <c r="AL3826" s="19"/>
    </row>
    <row r="3827" spans="1:38" s="11" customFormat="1" x14ac:dyDescent="0.25">
      <c r="A3827" s="3"/>
      <c r="F3827" s="19"/>
      <c r="G3827" s="19"/>
      <c r="N3827" s="19"/>
      <c r="P3827" s="19"/>
      <c r="AL3827" s="19"/>
    </row>
    <row r="3828" spans="1:38" s="11" customFormat="1" x14ac:dyDescent="0.25">
      <c r="A3828" s="3"/>
      <c r="F3828" s="19"/>
      <c r="G3828" s="19"/>
      <c r="N3828" s="19"/>
      <c r="P3828" s="19"/>
      <c r="AL3828" s="19"/>
    </row>
    <row r="3829" spans="1:38" s="11" customFormat="1" x14ac:dyDescent="0.25">
      <c r="A3829" s="3"/>
      <c r="F3829" s="19"/>
      <c r="G3829" s="19"/>
      <c r="N3829" s="19"/>
      <c r="P3829" s="19"/>
      <c r="AL3829" s="19"/>
    </row>
    <row r="3830" spans="1:38" s="11" customFormat="1" x14ac:dyDescent="0.25">
      <c r="A3830" s="3"/>
      <c r="F3830" s="19"/>
      <c r="G3830" s="19"/>
      <c r="N3830" s="19"/>
      <c r="P3830" s="19"/>
      <c r="AL3830" s="19"/>
    </row>
    <row r="3831" spans="1:38" s="11" customFormat="1" x14ac:dyDescent="0.25">
      <c r="A3831" s="3"/>
      <c r="F3831" s="19"/>
      <c r="G3831" s="19"/>
      <c r="N3831" s="19"/>
      <c r="P3831" s="19"/>
      <c r="AL3831" s="19"/>
    </row>
    <row r="3832" spans="1:38" s="11" customFormat="1" x14ac:dyDescent="0.25">
      <c r="A3832" s="3"/>
      <c r="F3832" s="19"/>
      <c r="G3832" s="19"/>
      <c r="N3832" s="19"/>
      <c r="P3832" s="19"/>
      <c r="AL3832" s="19"/>
    </row>
    <row r="3833" spans="1:38" s="11" customFormat="1" x14ac:dyDescent="0.25">
      <c r="A3833" s="3"/>
      <c r="F3833" s="19"/>
      <c r="G3833" s="19"/>
      <c r="N3833" s="19"/>
      <c r="P3833" s="19"/>
      <c r="AL3833" s="19"/>
    </row>
    <row r="3834" spans="1:38" s="11" customFormat="1" x14ac:dyDescent="0.25">
      <c r="A3834" s="3"/>
      <c r="F3834" s="19"/>
      <c r="G3834" s="19"/>
      <c r="N3834" s="19"/>
      <c r="P3834" s="19"/>
      <c r="AL3834" s="19"/>
    </row>
    <row r="3835" spans="1:38" s="11" customFormat="1" x14ac:dyDescent="0.25">
      <c r="A3835" s="3"/>
      <c r="F3835" s="19"/>
      <c r="G3835" s="19"/>
      <c r="N3835" s="19"/>
      <c r="P3835" s="19"/>
      <c r="AL3835" s="19"/>
    </row>
    <row r="3836" spans="1:38" s="11" customFormat="1" x14ac:dyDescent="0.25">
      <c r="A3836" s="3"/>
      <c r="F3836" s="19"/>
      <c r="G3836" s="19"/>
      <c r="N3836" s="19"/>
      <c r="P3836" s="19"/>
      <c r="AL3836" s="19"/>
    </row>
    <row r="3837" spans="1:38" s="11" customFormat="1" x14ac:dyDescent="0.25">
      <c r="A3837" s="3"/>
      <c r="F3837" s="19"/>
      <c r="G3837" s="19"/>
      <c r="N3837" s="19"/>
      <c r="P3837" s="19"/>
      <c r="AL3837" s="19"/>
    </row>
    <row r="3838" spans="1:38" s="11" customFormat="1" x14ac:dyDescent="0.25">
      <c r="A3838" s="3"/>
      <c r="F3838" s="19"/>
      <c r="G3838" s="19"/>
      <c r="N3838" s="19"/>
      <c r="P3838" s="19"/>
      <c r="AL3838" s="19"/>
    </row>
    <row r="3839" spans="1:38" s="11" customFormat="1" x14ac:dyDescent="0.25">
      <c r="A3839" s="3"/>
      <c r="F3839" s="19"/>
      <c r="G3839" s="19"/>
      <c r="N3839" s="19"/>
      <c r="P3839" s="19"/>
      <c r="AL3839" s="19"/>
    </row>
    <row r="3840" spans="1:38" s="11" customFormat="1" x14ac:dyDescent="0.25">
      <c r="A3840" s="3"/>
      <c r="F3840" s="19"/>
      <c r="G3840" s="19"/>
      <c r="N3840" s="19"/>
      <c r="P3840" s="19"/>
      <c r="AL3840" s="19"/>
    </row>
    <row r="3841" spans="1:38" s="11" customFormat="1" x14ac:dyDescent="0.25">
      <c r="A3841" s="3"/>
      <c r="F3841" s="19"/>
      <c r="G3841" s="19"/>
      <c r="N3841" s="19"/>
      <c r="P3841" s="19"/>
      <c r="AL3841" s="19"/>
    </row>
    <row r="3842" spans="1:38" s="11" customFormat="1" x14ac:dyDescent="0.25">
      <c r="A3842" s="3"/>
      <c r="F3842" s="19"/>
      <c r="G3842" s="19"/>
      <c r="N3842" s="19"/>
      <c r="P3842" s="19"/>
      <c r="AL3842" s="19"/>
    </row>
    <row r="3843" spans="1:38" s="11" customFormat="1" x14ac:dyDescent="0.25">
      <c r="A3843" s="3"/>
      <c r="F3843" s="19"/>
      <c r="G3843" s="19"/>
      <c r="N3843" s="19"/>
      <c r="P3843" s="19"/>
      <c r="AL3843" s="19"/>
    </row>
    <row r="3844" spans="1:38" s="11" customFormat="1" x14ac:dyDescent="0.25">
      <c r="A3844" s="3"/>
      <c r="F3844" s="19"/>
      <c r="G3844" s="19"/>
      <c r="N3844" s="19"/>
      <c r="P3844" s="19"/>
      <c r="AL3844" s="19"/>
    </row>
    <row r="3845" spans="1:38" s="11" customFormat="1" x14ac:dyDescent="0.25">
      <c r="A3845" s="3"/>
      <c r="F3845" s="19"/>
      <c r="G3845" s="19"/>
      <c r="N3845" s="19"/>
      <c r="P3845" s="19"/>
      <c r="AL3845" s="19"/>
    </row>
    <row r="3846" spans="1:38" s="11" customFormat="1" x14ac:dyDescent="0.25">
      <c r="A3846" s="3"/>
      <c r="F3846" s="19"/>
      <c r="G3846" s="19"/>
      <c r="N3846" s="19"/>
      <c r="P3846" s="19"/>
      <c r="AL3846" s="19"/>
    </row>
    <row r="3847" spans="1:38" s="11" customFormat="1" x14ac:dyDescent="0.25">
      <c r="A3847" s="3"/>
      <c r="F3847" s="19"/>
      <c r="G3847" s="19"/>
      <c r="N3847" s="19"/>
      <c r="P3847" s="19"/>
      <c r="AL3847" s="19"/>
    </row>
    <row r="3848" spans="1:38" s="11" customFormat="1" x14ac:dyDescent="0.25">
      <c r="A3848" s="3"/>
      <c r="F3848" s="19"/>
      <c r="G3848" s="19"/>
      <c r="N3848" s="19"/>
      <c r="P3848" s="19"/>
      <c r="AL3848" s="19"/>
    </row>
    <row r="3849" spans="1:38" s="11" customFormat="1" x14ac:dyDescent="0.25">
      <c r="A3849" s="3"/>
      <c r="F3849" s="19"/>
      <c r="G3849" s="19"/>
      <c r="N3849" s="19"/>
      <c r="P3849" s="19"/>
      <c r="AL3849" s="19"/>
    </row>
    <row r="3850" spans="1:38" s="11" customFormat="1" x14ac:dyDescent="0.25">
      <c r="A3850" s="3"/>
      <c r="F3850" s="19"/>
      <c r="G3850" s="19"/>
      <c r="N3850" s="19"/>
      <c r="P3850" s="19"/>
      <c r="AL3850" s="19"/>
    </row>
    <row r="3851" spans="1:38" s="11" customFormat="1" x14ac:dyDescent="0.25">
      <c r="A3851" s="3"/>
      <c r="F3851" s="19"/>
      <c r="G3851" s="19"/>
      <c r="N3851" s="19"/>
      <c r="P3851" s="19"/>
      <c r="AL3851" s="19"/>
    </row>
    <row r="3852" spans="1:38" s="11" customFormat="1" x14ac:dyDescent="0.25">
      <c r="A3852" s="3"/>
      <c r="F3852" s="19"/>
      <c r="G3852" s="19"/>
      <c r="N3852" s="19"/>
      <c r="P3852" s="19"/>
      <c r="AL3852" s="19"/>
    </row>
    <row r="3853" spans="1:38" s="11" customFormat="1" x14ac:dyDescent="0.25">
      <c r="A3853" s="3"/>
      <c r="F3853" s="19"/>
      <c r="G3853" s="19"/>
      <c r="N3853" s="19"/>
      <c r="P3853" s="19"/>
      <c r="AL3853" s="19"/>
    </row>
    <row r="3854" spans="1:38" s="11" customFormat="1" x14ac:dyDescent="0.25">
      <c r="A3854" s="3"/>
      <c r="F3854" s="19"/>
      <c r="G3854" s="19"/>
      <c r="N3854" s="19"/>
      <c r="P3854" s="19"/>
      <c r="AL3854" s="19"/>
    </row>
    <row r="3855" spans="1:38" s="11" customFormat="1" x14ac:dyDescent="0.25">
      <c r="A3855" s="3"/>
      <c r="F3855" s="19"/>
      <c r="G3855" s="19"/>
      <c r="N3855" s="19"/>
      <c r="P3855" s="19"/>
      <c r="AL3855" s="19"/>
    </row>
    <row r="3856" spans="1:38" s="11" customFormat="1" x14ac:dyDescent="0.25">
      <c r="A3856" s="3"/>
      <c r="F3856" s="19"/>
      <c r="G3856" s="19"/>
      <c r="N3856" s="19"/>
      <c r="P3856" s="19"/>
      <c r="AL3856" s="19"/>
    </row>
    <row r="3857" spans="1:38" s="11" customFormat="1" x14ac:dyDescent="0.25">
      <c r="A3857" s="3"/>
      <c r="F3857" s="19"/>
      <c r="G3857" s="19"/>
      <c r="N3857" s="19"/>
      <c r="P3857" s="19"/>
      <c r="AL3857" s="19"/>
    </row>
    <row r="3858" spans="1:38" s="11" customFormat="1" x14ac:dyDescent="0.25">
      <c r="A3858" s="3"/>
      <c r="F3858" s="19"/>
      <c r="G3858" s="19"/>
      <c r="N3858" s="19"/>
      <c r="P3858" s="19"/>
      <c r="AL3858" s="19"/>
    </row>
    <row r="3859" spans="1:38" s="11" customFormat="1" x14ac:dyDescent="0.25">
      <c r="A3859" s="3"/>
      <c r="F3859" s="19"/>
      <c r="G3859" s="19"/>
      <c r="N3859" s="19"/>
      <c r="P3859" s="19"/>
      <c r="AL3859" s="19"/>
    </row>
    <row r="3860" spans="1:38" s="11" customFormat="1" x14ac:dyDescent="0.25">
      <c r="A3860" s="3"/>
      <c r="F3860" s="19"/>
      <c r="G3860" s="19"/>
      <c r="N3860" s="19"/>
      <c r="P3860" s="19"/>
      <c r="AL3860" s="19"/>
    </row>
    <row r="3861" spans="1:38" s="11" customFormat="1" x14ac:dyDescent="0.25">
      <c r="A3861" s="3"/>
      <c r="F3861" s="19"/>
      <c r="G3861" s="19"/>
      <c r="N3861" s="19"/>
      <c r="P3861" s="19"/>
      <c r="AL3861" s="19"/>
    </row>
    <row r="3862" spans="1:38" s="11" customFormat="1" x14ac:dyDescent="0.25">
      <c r="A3862" s="3"/>
      <c r="F3862" s="19"/>
      <c r="G3862" s="19"/>
      <c r="N3862" s="19"/>
      <c r="P3862" s="19"/>
      <c r="AL3862" s="19"/>
    </row>
    <row r="3863" spans="1:38" s="11" customFormat="1" x14ac:dyDescent="0.25">
      <c r="A3863" s="3"/>
      <c r="F3863" s="19"/>
      <c r="G3863" s="19"/>
      <c r="N3863" s="19"/>
      <c r="P3863" s="19"/>
      <c r="AL3863" s="19"/>
    </row>
    <row r="3864" spans="1:38" s="11" customFormat="1" x14ac:dyDescent="0.25">
      <c r="A3864" s="3"/>
      <c r="F3864" s="19"/>
      <c r="G3864" s="19"/>
      <c r="N3864" s="19"/>
      <c r="P3864" s="19"/>
      <c r="AL3864" s="19"/>
    </row>
    <row r="3865" spans="1:38" s="11" customFormat="1" x14ac:dyDescent="0.25">
      <c r="A3865" s="3"/>
      <c r="F3865" s="19"/>
      <c r="G3865" s="19"/>
      <c r="N3865" s="19"/>
      <c r="P3865" s="19"/>
      <c r="AL3865" s="19"/>
    </row>
    <row r="3866" spans="1:38" s="11" customFormat="1" x14ac:dyDescent="0.25">
      <c r="A3866" s="3"/>
      <c r="F3866" s="19"/>
      <c r="G3866" s="19"/>
      <c r="N3866" s="19"/>
      <c r="P3866" s="19"/>
      <c r="AL3866" s="19"/>
    </row>
    <row r="3867" spans="1:38" s="11" customFormat="1" x14ac:dyDescent="0.25">
      <c r="A3867" s="3"/>
      <c r="F3867" s="19"/>
      <c r="G3867" s="19"/>
      <c r="N3867" s="19"/>
      <c r="P3867" s="19"/>
      <c r="AL3867" s="19"/>
    </row>
    <row r="3868" spans="1:38" s="11" customFormat="1" x14ac:dyDescent="0.25">
      <c r="A3868" s="3"/>
      <c r="F3868" s="19"/>
      <c r="G3868" s="19"/>
      <c r="N3868" s="19"/>
      <c r="P3868" s="19"/>
      <c r="AL3868" s="19"/>
    </row>
    <row r="3869" spans="1:38" s="11" customFormat="1" x14ac:dyDescent="0.25">
      <c r="A3869" s="3"/>
      <c r="F3869" s="19"/>
      <c r="G3869" s="19"/>
      <c r="N3869" s="19"/>
      <c r="P3869" s="19"/>
      <c r="AL3869" s="19"/>
    </row>
    <row r="3870" spans="1:38" s="11" customFormat="1" x14ac:dyDescent="0.25">
      <c r="A3870" s="3"/>
      <c r="F3870" s="19"/>
      <c r="G3870" s="19"/>
      <c r="N3870" s="19"/>
      <c r="P3870" s="19"/>
      <c r="AL3870" s="19"/>
    </row>
    <row r="3871" spans="1:38" s="11" customFormat="1" x14ac:dyDescent="0.25">
      <c r="A3871" s="3"/>
      <c r="F3871" s="19"/>
      <c r="G3871" s="19"/>
      <c r="N3871" s="19"/>
      <c r="P3871" s="19"/>
      <c r="AL3871" s="19"/>
    </row>
    <row r="3872" spans="1:38" s="11" customFormat="1" x14ac:dyDescent="0.25">
      <c r="A3872" s="3"/>
      <c r="F3872" s="19"/>
      <c r="G3872" s="19"/>
      <c r="N3872" s="19"/>
      <c r="P3872" s="19"/>
      <c r="AL3872" s="19"/>
    </row>
    <row r="3873" spans="1:38" s="11" customFormat="1" x14ac:dyDescent="0.25">
      <c r="A3873" s="3"/>
      <c r="F3873" s="19"/>
      <c r="G3873" s="19"/>
      <c r="N3873" s="19"/>
      <c r="P3873" s="19"/>
      <c r="AL3873" s="19"/>
    </row>
    <row r="3874" spans="1:38" s="11" customFormat="1" x14ac:dyDescent="0.25">
      <c r="A3874" s="3"/>
      <c r="F3874" s="19"/>
      <c r="G3874" s="19"/>
      <c r="N3874" s="19"/>
      <c r="P3874" s="19"/>
      <c r="AL3874" s="19"/>
    </row>
    <row r="3875" spans="1:38" s="11" customFormat="1" x14ac:dyDescent="0.25">
      <c r="A3875" s="3"/>
      <c r="F3875" s="19"/>
      <c r="G3875" s="19"/>
      <c r="N3875" s="19"/>
      <c r="P3875" s="19"/>
      <c r="AL3875" s="19"/>
    </row>
    <row r="3876" spans="1:38" s="11" customFormat="1" x14ac:dyDescent="0.25">
      <c r="A3876" s="3"/>
      <c r="F3876" s="19"/>
      <c r="G3876" s="19"/>
      <c r="N3876" s="19"/>
      <c r="P3876" s="19"/>
      <c r="AL3876" s="19"/>
    </row>
    <row r="3877" spans="1:38" s="11" customFormat="1" x14ac:dyDescent="0.25">
      <c r="A3877" s="3"/>
      <c r="F3877" s="19"/>
      <c r="G3877" s="19"/>
      <c r="N3877" s="19"/>
      <c r="P3877" s="19"/>
      <c r="AL3877" s="19"/>
    </row>
    <row r="3878" spans="1:38" s="11" customFormat="1" x14ac:dyDescent="0.25">
      <c r="A3878" s="3"/>
      <c r="F3878" s="19"/>
      <c r="G3878" s="19"/>
      <c r="N3878" s="19"/>
      <c r="P3878" s="19"/>
      <c r="AL3878" s="19"/>
    </row>
    <row r="3879" spans="1:38" s="11" customFormat="1" x14ac:dyDescent="0.25">
      <c r="A3879" s="3"/>
      <c r="F3879" s="19"/>
      <c r="G3879" s="19"/>
      <c r="N3879" s="19"/>
      <c r="P3879" s="19"/>
      <c r="AL3879" s="19"/>
    </row>
    <row r="3880" spans="1:38" s="11" customFormat="1" x14ac:dyDescent="0.25">
      <c r="A3880" s="3"/>
      <c r="F3880" s="19"/>
      <c r="G3880" s="19"/>
      <c r="N3880" s="19"/>
      <c r="P3880" s="19"/>
      <c r="AL3880" s="19"/>
    </row>
    <row r="3881" spans="1:38" s="11" customFormat="1" x14ac:dyDescent="0.25">
      <c r="A3881" s="3"/>
      <c r="F3881" s="19"/>
      <c r="G3881" s="19"/>
      <c r="N3881" s="19"/>
      <c r="P3881" s="19"/>
      <c r="AL3881" s="19"/>
    </row>
    <row r="3882" spans="1:38" s="11" customFormat="1" x14ac:dyDescent="0.25">
      <c r="A3882" s="3"/>
      <c r="F3882" s="19"/>
      <c r="G3882" s="19"/>
      <c r="N3882" s="19"/>
      <c r="P3882" s="19"/>
      <c r="AL3882" s="19"/>
    </row>
    <row r="3883" spans="1:38" s="11" customFormat="1" x14ac:dyDescent="0.25">
      <c r="A3883" s="3"/>
      <c r="F3883" s="19"/>
      <c r="G3883" s="19"/>
      <c r="N3883" s="19"/>
      <c r="P3883" s="19"/>
      <c r="AL3883" s="19"/>
    </row>
    <row r="3884" spans="1:38" s="11" customFormat="1" x14ac:dyDescent="0.25">
      <c r="A3884" s="3"/>
      <c r="F3884" s="19"/>
      <c r="G3884" s="19"/>
      <c r="N3884" s="19"/>
      <c r="P3884" s="19"/>
      <c r="AL3884" s="19"/>
    </row>
    <row r="3885" spans="1:38" s="11" customFormat="1" x14ac:dyDescent="0.25">
      <c r="A3885" s="3"/>
      <c r="F3885" s="19"/>
      <c r="G3885" s="19"/>
      <c r="N3885" s="19"/>
      <c r="P3885" s="19"/>
      <c r="AL3885" s="19"/>
    </row>
    <row r="3886" spans="1:38" s="11" customFormat="1" x14ac:dyDescent="0.25">
      <c r="A3886" s="3"/>
      <c r="F3886" s="19"/>
      <c r="G3886" s="19"/>
      <c r="N3886" s="19"/>
      <c r="P3886" s="19"/>
      <c r="AL3886" s="19"/>
    </row>
    <row r="3887" spans="1:38" s="11" customFormat="1" x14ac:dyDescent="0.25">
      <c r="A3887" s="3"/>
      <c r="F3887" s="19"/>
      <c r="G3887" s="19"/>
      <c r="N3887" s="19"/>
      <c r="P3887" s="19"/>
      <c r="AL3887" s="19"/>
    </row>
    <row r="3888" spans="1:38" s="11" customFormat="1" x14ac:dyDescent="0.25">
      <c r="A3888" s="3"/>
      <c r="F3888" s="19"/>
      <c r="G3888" s="19"/>
      <c r="N3888" s="19"/>
      <c r="P3888" s="19"/>
      <c r="AL3888" s="19"/>
    </row>
    <row r="3889" spans="1:38" s="11" customFormat="1" x14ac:dyDescent="0.25">
      <c r="A3889" s="3"/>
      <c r="F3889" s="19"/>
      <c r="G3889" s="19"/>
      <c r="N3889" s="19"/>
      <c r="P3889" s="19"/>
      <c r="AL3889" s="19"/>
    </row>
    <row r="3890" spans="1:38" s="11" customFormat="1" x14ac:dyDescent="0.25">
      <c r="A3890" s="3"/>
      <c r="F3890" s="19"/>
      <c r="G3890" s="19"/>
      <c r="N3890" s="19"/>
      <c r="P3890" s="19"/>
      <c r="AL3890" s="19"/>
    </row>
    <row r="3891" spans="1:38" s="11" customFormat="1" x14ac:dyDescent="0.25">
      <c r="A3891" s="3"/>
      <c r="F3891" s="19"/>
      <c r="G3891" s="19"/>
      <c r="N3891" s="19"/>
      <c r="P3891" s="19"/>
      <c r="AL3891" s="19"/>
    </row>
    <row r="3892" spans="1:38" s="11" customFormat="1" x14ac:dyDescent="0.25">
      <c r="A3892" s="3"/>
      <c r="F3892" s="19"/>
      <c r="G3892" s="19"/>
      <c r="N3892" s="19"/>
      <c r="P3892" s="19"/>
      <c r="AL3892" s="19"/>
    </row>
    <row r="3893" spans="1:38" s="11" customFormat="1" x14ac:dyDescent="0.25">
      <c r="A3893" s="3"/>
      <c r="F3893" s="19"/>
      <c r="G3893" s="19"/>
      <c r="N3893" s="19"/>
      <c r="P3893" s="19"/>
      <c r="AL3893" s="19"/>
    </row>
    <row r="3894" spans="1:38" s="11" customFormat="1" x14ac:dyDescent="0.25">
      <c r="A3894" s="3"/>
      <c r="F3894" s="19"/>
      <c r="G3894" s="19"/>
      <c r="N3894" s="19"/>
      <c r="P3894" s="19"/>
      <c r="AL3894" s="19"/>
    </row>
    <row r="3895" spans="1:38" s="11" customFormat="1" x14ac:dyDescent="0.25">
      <c r="A3895" s="3"/>
      <c r="F3895" s="19"/>
      <c r="G3895" s="19"/>
      <c r="N3895" s="19"/>
      <c r="P3895" s="19"/>
      <c r="AL3895" s="19"/>
    </row>
    <row r="3896" spans="1:38" s="11" customFormat="1" x14ac:dyDescent="0.25">
      <c r="A3896" s="3"/>
      <c r="F3896" s="19"/>
      <c r="G3896" s="19"/>
      <c r="N3896" s="19"/>
      <c r="P3896" s="19"/>
      <c r="AL3896" s="19"/>
    </row>
    <row r="3897" spans="1:38" s="11" customFormat="1" x14ac:dyDescent="0.25">
      <c r="A3897" s="3"/>
      <c r="F3897" s="19"/>
      <c r="G3897" s="19"/>
      <c r="N3897" s="19"/>
      <c r="P3897" s="19"/>
      <c r="AL3897" s="19"/>
    </row>
    <row r="3898" spans="1:38" s="11" customFormat="1" x14ac:dyDescent="0.25">
      <c r="A3898" s="3"/>
      <c r="F3898" s="19"/>
      <c r="G3898" s="19"/>
      <c r="N3898" s="19"/>
      <c r="P3898" s="19"/>
      <c r="AL3898" s="19"/>
    </row>
    <row r="3899" spans="1:38" s="11" customFormat="1" x14ac:dyDescent="0.25">
      <c r="A3899" s="3"/>
      <c r="F3899" s="19"/>
      <c r="G3899" s="19"/>
      <c r="N3899" s="19"/>
      <c r="P3899" s="19"/>
      <c r="AL3899" s="19"/>
    </row>
    <row r="3900" spans="1:38" s="11" customFormat="1" x14ac:dyDescent="0.25">
      <c r="A3900" s="3"/>
      <c r="F3900" s="19"/>
      <c r="G3900" s="19"/>
      <c r="N3900" s="19"/>
      <c r="P3900" s="19"/>
      <c r="AL3900" s="19"/>
    </row>
    <row r="3901" spans="1:38" s="11" customFormat="1" x14ac:dyDescent="0.25">
      <c r="A3901" s="3"/>
      <c r="F3901" s="19"/>
      <c r="G3901" s="19"/>
      <c r="N3901" s="19"/>
      <c r="P3901" s="19"/>
      <c r="AL3901" s="19"/>
    </row>
    <row r="3902" spans="1:38" s="11" customFormat="1" x14ac:dyDescent="0.25">
      <c r="A3902" s="3"/>
      <c r="F3902" s="19"/>
      <c r="G3902" s="19"/>
      <c r="N3902" s="19"/>
      <c r="P3902" s="19"/>
      <c r="AL3902" s="19"/>
    </row>
    <row r="3903" spans="1:38" s="11" customFormat="1" x14ac:dyDescent="0.25">
      <c r="A3903" s="3"/>
      <c r="F3903" s="19"/>
      <c r="G3903" s="19"/>
      <c r="N3903" s="19"/>
      <c r="P3903" s="19"/>
      <c r="AL3903" s="19"/>
    </row>
    <row r="3904" spans="1:38" s="11" customFormat="1" x14ac:dyDescent="0.25">
      <c r="A3904" s="3"/>
      <c r="F3904" s="19"/>
      <c r="G3904" s="19"/>
      <c r="N3904" s="19"/>
      <c r="P3904" s="19"/>
      <c r="AL3904" s="19"/>
    </row>
    <row r="3905" spans="1:38" s="11" customFormat="1" x14ac:dyDescent="0.25">
      <c r="A3905" s="3"/>
      <c r="F3905" s="19"/>
      <c r="G3905" s="19"/>
      <c r="N3905" s="19"/>
      <c r="P3905" s="19"/>
      <c r="AL3905" s="19"/>
    </row>
    <row r="3906" spans="1:38" s="11" customFormat="1" x14ac:dyDescent="0.25">
      <c r="A3906" s="3"/>
      <c r="F3906" s="19"/>
      <c r="G3906" s="19"/>
      <c r="N3906" s="19"/>
      <c r="P3906" s="19"/>
      <c r="AL3906" s="19"/>
    </row>
    <row r="3907" spans="1:38" s="11" customFormat="1" x14ac:dyDescent="0.25">
      <c r="A3907" s="3"/>
      <c r="F3907" s="19"/>
      <c r="G3907" s="19"/>
      <c r="N3907" s="19"/>
      <c r="P3907" s="19"/>
      <c r="AL3907" s="19"/>
    </row>
    <row r="3908" spans="1:38" s="11" customFormat="1" x14ac:dyDescent="0.25">
      <c r="A3908" s="3"/>
      <c r="F3908" s="19"/>
      <c r="G3908" s="19"/>
      <c r="N3908" s="19"/>
      <c r="P3908" s="19"/>
      <c r="AL3908" s="19"/>
    </row>
    <row r="3909" spans="1:38" s="11" customFormat="1" x14ac:dyDescent="0.25">
      <c r="A3909" s="3"/>
      <c r="F3909" s="19"/>
      <c r="G3909" s="19"/>
      <c r="N3909" s="19"/>
      <c r="P3909" s="19"/>
      <c r="AL3909" s="19"/>
    </row>
    <row r="3910" spans="1:38" s="11" customFormat="1" x14ac:dyDescent="0.25">
      <c r="A3910" s="3"/>
      <c r="F3910" s="19"/>
      <c r="G3910" s="19"/>
      <c r="N3910" s="19"/>
      <c r="P3910" s="19"/>
      <c r="AL3910" s="19"/>
    </row>
    <row r="3911" spans="1:38" s="11" customFormat="1" x14ac:dyDescent="0.25">
      <c r="A3911" s="3"/>
      <c r="F3911" s="19"/>
      <c r="G3911" s="19"/>
      <c r="N3911" s="19"/>
      <c r="P3911" s="19"/>
      <c r="AL3911" s="19"/>
    </row>
    <row r="3912" spans="1:38" s="11" customFormat="1" x14ac:dyDescent="0.25">
      <c r="A3912" s="3"/>
      <c r="F3912" s="19"/>
      <c r="G3912" s="19"/>
      <c r="N3912" s="19"/>
      <c r="P3912" s="19"/>
      <c r="AL3912" s="19"/>
    </row>
    <row r="3913" spans="1:38" s="11" customFormat="1" x14ac:dyDescent="0.25">
      <c r="A3913" s="3"/>
      <c r="F3913" s="19"/>
      <c r="G3913" s="19"/>
      <c r="N3913" s="19"/>
      <c r="P3913" s="19"/>
      <c r="AL3913" s="19"/>
    </row>
    <row r="3914" spans="1:38" s="11" customFormat="1" x14ac:dyDescent="0.25">
      <c r="A3914" s="3"/>
      <c r="F3914" s="19"/>
      <c r="G3914" s="19"/>
      <c r="N3914" s="19"/>
      <c r="P3914" s="19"/>
      <c r="AL3914" s="19"/>
    </row>
    <row r="3915" spans="1:38" s="11" customFormat="1" x14ac:dyDescent="0.25">
      <c r="A3915" s="3"/>
      <c r="F3915" s="19"/>
      <c r="G3915" s="19"/>
      <c r="N3915" s="19"/>
      <c r="P3915" s="19"/>
      <c r="AL3915" s="19"/>
    </row>
    <row r="3916" spans="1:38" s="11" customFormat="1" x14ac:dyDescent="0.25">
      <c r="A3916" s="3"/>
      <c r="F3916" s="19"/>
      <c r="G3916" s="19"/>
      <c r="N3916" s="19"/>
      <c r="P3916" s="19"/>
      <c r="AL3916" s="19"/>
    </row>
    <row r="3917" spans="1:38" s="11" customFormat="1" x14ac:dyDescent="0.25">
      <c r="A3917" s="3"/>
      <c r="F3917" s="19"/>
      <c r="G3917" s="19"/>
      <c r="N3917" s="19"/>
      <c r="P3917" s="19"/>
      <c r="AL3917" s="19"/>
    </row>
    <row r="3918" spans="1:38" s="11" customFormat="1" x14ac:dyDescent="0.25">
      <c r="A3918" s="3"/>
      <c r="F3918" s="19"/>
      <c r="G3918" s="19"/>
      <c r="N3918" s="19"/>
      <c r="P3918" s="19"/>
      <c r="AL3918" s="19"/>
    </row>
    <row r="3919" spans="1:38" s="11" customFormat="1" x14ac:dyDescent="0.25">
      <c r="A3919" s="3"/>
      <c r="F3919" s="19"/>
      <c r="G3919" s="19"/>
      <c r="N3919" s="19"/>
      <c r="P3919" s="19"/>
      <c r="AL3919" s="19"/>
    </row>
    <row r="3920" spans="1:38" s="11" customFormat="1" x14ac:dyDescent="0.25">
      <c r="A3920" s="3"/>
      <c r="F3920" s="19"/>
      <c r="G3920" s="19"/>
      <c r="N3920" s="19"/>
      <c r="P3920" s="19"/>
      <c r="AL3920" s="19"/>
    </row>
    <row r="3921" spans="1:38" s="11" customFormat="1" x14ac:dyDescent="0.25">
      <c r="A3921" s="3"/>
      <c r="F3921" s="19"/>
      <c r="G3921" s="19"/>
      <c r="N3921" s="19"/>
      <c r="P3921" s="19"/>
      <c r="AL3921" s="19"/>
    </row>
    <row r="3922" spans="1:38" s="11" customFormat="1" x14ac:dyDescent="0.25">
      <c r="A3922" s="3"/>
      <c r="F3922" s="19"/>
      <c r="G3922" s="19"/>
      <c r="N3922" s="19"/>
      <c r="P3922" s="19"/>
      <c r="AL3922" s="19"/>
    </row>
    <row r="3923" spans="1:38" s="11" customFormat="1" x14ac:dyDescent="0.25">
      <c r="A3923" s="3"/>
      <c r="F3923" s="19"/>
      <c r="G3923" s="19"/>
      <c r="N3923" s="19"/>
      <c r="P3923" s="19"/>
      <c r="AL3923" s="19"/>
    </row>
    <row r="3924" spans="1:38" s="11" customFormat="1" x14ac:dyDescent="0.25">
      <c r="A3924" s="3"/>
      <c r="F3924" s="19"/>
      <c r="G3924" s="19"/>
      <c r="N3924" s="19"/>
      <c r="P3924" s="19"/>
      <c r="AL3924" s="19"/>
    </row>
    <row r="3925" spans="1:38" s="11" customFormat="1" x14ac:dyDescent="0.25">
      <c r="A3925" s="3"/>
      <c r="F3925" s="19"/>
      <c r="G3925" s="19"/>
      <c r="N3925" s="19"/>
      <c r="P3925" s="19"/>
      <c r="AL3925" s="19"/>
    </row>
    <row r="3926" spans="1:38" s="11" customFormat="1" x14ac:dyDescent="0.25">
      <c r="A3926" s="3"/>
      <c r="F3926" s="19"/>
      <c r="G3926" s="19"/>
      <c r="N3926" s="19"/>
      <c r="P3926" s="19"/>
      <c r="AL3926" s="19"/>
    </row>
    <row r="3927" spans="1:38" s="11" customFormat="1" x14ac:dyDescent="0.25">
      <c r="A3927" s="3"/>
      <c r="F3927" s="19"/>
      <c r="G3927" s="19"/>
      <c r="N3927" s="19"/>
      <c r="P3927" s="19"/>
      <c r="AL3927" s="19"/>
    </row>
    <row r="3928" spans="1:38" s="11" customFormat="1" x14ac:dyDescent="0.25">
      <c r="A3928" s="3"/>
      <c r="F3928" s="19"/>
      <c r="G3928" s="19"/>
      <c r="N3928" s="19"/>
      <c r="P3928" s="19"/>
      <c r="AL3928" s="19"/>
    </row>
    <row r="3929" spans="1:38" s="11" customFormat="1" x14ac:dyDescent="0.25">
      <c r="A3929" s="3"/>
      <c r="F3929" s="19"/>
      <c r="G3929" s="19"/>
      <c r="N3929" s="19"/>
      <c r="P3929" s="19"/>
      <c r="AL3929" s="19"/>
    </row>
    <row r="3930" spans="1:38" s="11" customFormat="1" x14ac:dyDescent="0.25">
      <c r="A3930" s="3"/>
      <c r="F3930" s="19"/>
      <c r="G3930" s="19"/>
      <c r="N3930" s="19"/>
      <c r="P3930" s="19"/>
      <c r="AL3930" s="19"/>
    </row>
    <row r="3931" spans="1:38" s="11" customFormat="1" x14ac:dyDescent="0.25">
      <c r="A3931" s="3"/>
      <c r="F3931" s="19"/>
      <c r="G3931" s="19"/>
      <c r="N3931" s="19"/>
      <c r="P3931" s="19"/>
      <c r="AL3931" s="19"/>
    </row>
    <row r="3932" spans="1:38" s="11" customFormat="1" x14ac:dyDescent="0.25">
      <c r="A3932" s="3"/>
      <c r="F3932" s="19"/>
      <c r="G3932" s="19"/>
      <c r="N3932" s="19"/>
      <c r="P3932" s="19"/>
      <c r="AL3932" s="19"/>
    </row>
    <row r="3933" spans="1:38" s="11" customFormat="1" x14ac:dyDescent="0.25">
      <c r="A3933" s="3"/>
      <c r="F3933" s="19"/>
      <c r="G3933" s="19"/>
      <c r="N3933" s="19"/>
      <c r="P3933" s="19"/>
      <c r="AL3933" s="19"/>
    </row>
    <row r="3934" spans="1:38" s="11" customFormat="1" x14ac:dyDescent="0.25">
      <c r="A3934" s="3"/>
      <c r="F3934" s="19"/>
      <c r="G3934" s="19"/>
      <c r="N3934" s="19"/>
      <c r="P3934" s="19"/>
      <c r="AL3934" s="19"/>
    </row>
    <row r="3935" spans="1:38" s="11" customFormat="1" x14ac:dyDescent="0.25">
      <c r="A3935" s="3"/>
      <c r="F3935" s="19"/>
      <c r="G3935" s="19"/>
      <c r="N3935" s="19"/>
      <c r="P3935" s="19"/>
      <c r="AL3935" s="19"/>
    </row>
    <row r="3936" spans="1:38" s="11" customFormat="1" x14ac:dyDescent="0.25">
      <c r="A3936" s="3"/>
      <c r="F3936" s="19"/>
      <c r="G3936" s="19"/>
      <c r="N3936" s="19"/>
      <c r="P3936" s="19"/>
      <c r="AL3936" s="19"/>
    </row>
    <row r="3937" spans="1:38" s="11" customFormat="1" x14ac:dyDescent="0.25">
      <c r="A3937" s="3"/>
      <c r="F3937" s="19"/>
      <c r="G3937" s="19"/>
      <c r="N3937" s="19"/>
      <c r="P3937" s="19"/>
      <c r="AL3937" s="19"/>
    </row>
    <row r="3938" spans="1:38" s="11" customFormat="1" x14ac:dyDescent="0.25">
      <c r="A3938" s="3"/>
      <c r="F3938" s="19"/>
      <c r="G3938" s="19"/>
      <c r="N3938" s="19"/>
      <c r="P3938" s="19"/>
      <c r="AL3938" s="19"/>
    </row>
    <row r="3939" spans="1:38" s="11" customFormat="1" x14ac:dyDescent="0.25">
      <c r="A3939" s="3"/>
      <c r="F3939" s="19"/>
      <c r="G3939" s="19"/>
      <c r="N3939" s="19"/>
      <c r="P3939" s="19"/>
      <c r="AL3939" s="19"/>
    </row>
    <row r="3940" spans="1:38" s="11" customFormat="1" x14ac:dyDescent="0.25">
      <c r="A3940" s="3"/>
      <c r="F3940" s="19"/>
      <c r="G3940" s="19"/>
      <c r="N3940" s="19"/>
      <c r="P3940" s="19"/>
      <c r="AL3940" s="19"/>
    </row>
    <row r="3941" spans="1:38" s="11" customFormat="1" x14ac:dyDescent="0.25">
      <c r="A3941" s="3"/>
      <c r="F3941" s="19"/>
      <c r="G3941" s="19"/>
      <c r="N3941" s="19"/>
      <c r="P3941" s="19"/>
      <c r="AL3941" s="19"/>
    </row>
    <row r="3942" spans="1:38" s="11" customFormat="1" x14ac:dyDescent="0.25">
      <c r="A3942" s="3"/>
      <c r="F3942" s="19"/>
      <c r="G3942" s="19"/>
      <c r="N3942" s="19"/>
      <c r="P3942" s="19"/>
      <c r="AL3942" s="19"/>
    </row>
    <row r="3943" spans="1:38" s="11" customFormat="1" x14ac:dyDescent="0.25">
      <c r="A3943" s="3"/>
      <c r="F3943" s="19"/>
      <c r="G3943" s="19"/>
      <c r="N3943" s="19"/>
      <c r="P3943" s="19"/>
      <c r="AL3943" s="19"/>
    </row>
    <row r="3944" spans="1:38" s="11" customFormat="1" x14ac:dyDescent="0.25">
      <c r="A3944" s="3"/>
      <c r="F3944" s="19"/>
      <c r="G3944" s="19"/>
      <c r="N3944" s="19"/>
      <c r="P3944" s="19"/>
      <c r="AL3944" s="19"/>
    </row>
    <row r="3945" spans="1:38" s="11" customFormat="1" x14ac:dyDescent="0.25">
      <c r="A3945" s="3"/>
      <c r="F3945" s="19"/>
      <c r="G3945" s="19"/>
      <c r="N3945" s="19"/>
      <c r="P3945" s="19"/>
      <c r="AL3945" s="19"/>
    </row>
    <row r="3946" spans="1:38" s="11" customFormat="1" x14ac:dyDescent="0.25">
      <c r="A3946" s="3"/>
      <c r="F3946" s="19"/>
      <c r="G3946" s="19"/>
      <c r="N3946" s="19"/>
      <c r="P3946" s="19"/>
      <c r="AL3946" s="19"/>
    </row>
    <row r="3947" spans="1:38" s="11" customFormat="1" x14ac:dyDescent="0.25">
      <c r="A3947" s="3"/>
      <c r="F3947" s="19"/>
      <c r="G3947" s="19"/>
      <c r="N3947" s="19"/>
      <c r="P3947" s="19"/>
      <c r="AL3947" s="19"/>
    </row>
    <row r="3948" spans="1:38" s="11" customFormat="1" x14ac:dyDescent="0.25">
      <c r="A3948" s="3"/>
      <c r="F3948" s="19"/>
      <c r="G3948" s="19"/>
      <c r="N3948" s="19"/>
      <c r="P3948" s="19"/>
      <c r="AL3948" s="19"/>
    </row>
    <row r="3949" spans="1:38" s="11" customFormat="1" x14ac:dyDescent="0.25">
      <c r="A3949" s="3"/>
      <c r="F3949" s="19"/>
      <c r="G3949" s="19"/>
      <c r="N3949" s="19"/>
      <c r="P3949" s="19"/>
      <c r="AL3949" s="19"/>
    </row>
    <row r="3950" spans="1:38" s="11" customFormat="1" x14ac:dyDescent="0.25">
      <c r="A3950" s="3"/>
      <c r="F3950" s="19"/>
      <c r="G3950" s="19"/>
      <c r="N3950" s="19"/>
      <c r="P3950" s="19"/>
      <c r="AL3950" s="19"/>
    </row>
    <row r="3951" spans="1:38" s="11" customFormat="1" x14ac:dyDescent="0.25">
      <c r="A3951" s="3"/>
      <c r="F3951" s="19"/>
      <c r="G3951" s="19"/>
      <c r="N3951" s="19"/>
      <c r="P3951" s="19"/>
      <c r="AL3951" s="19"/>
    </row>
    <row r="3952" spans="1:38" s="11" customFormat="1" x14ac:dyDescent="0.25">
      <c r="A3952" s="3"/>
      <c r="F3952" s="19"/>
      <c r="G3952" s="19"/>
      <c r="N3952" s="19"/>
      <c r="P3952" s="19"/>
      <c r="AL3952" s="19"/>
    </row>
    <row r="3953" spans="1:38" s="11" customFormat="1" x14ac:dyDescent="0.25">
      <c r="A3953" s="3"/>
      <c r="F3953" s="19"/>
      <c r="G3953" s="19"/>
      <c r="N3953" s="19"/>
      <c r="P3953" s="19"/>
      <c r="AL3953" s="19"/>
    </row>
    <row r="3954" spans="1:38" s="11" customFormat="1" x14ac:dyDescent="0.25">
      <c r="A3954" s="3"/>
      <c r="F3954" s="19"/>
      <c r="G3954" s="19"/>
      <c r="N3954" s="19"/>
      <c r="P3954" s="19"/>
      <c r="AL3954" s="19"/>
    </row>
    <row r="3955" spans="1:38" s="11" customFormat="1" x14ac:dyDescent="0.25">
      <c r="A3955" s="3"/>
      <c r="F3955" s="19"/>
      <c r="G3955" s="19"/>
      <c r="N3955" s="19"/>
      <c r="P3955" s="19"/>
      <c r="AL3955" s="19"/>
    </row>
    <row r="3956" spans="1:38" s="11" customFormat="1" x14ac:dyDescent="0.25">
      <c r="A3956" s="3"/>
      <c r="F3956" s="19"/>
      <c r="G3956" s="19"/>
      <c r="N3956" s="19"/>
      <c r="P3956" s="19"/>
      <c r="AL3956" s="19"/>
    </row>
    <row r="3957" spans="1:38" s="11" customFormat="1" x14ac:dyDescent="0.25">
      <c r="A3957" s="3"/>
      <c r="F3957" s="19"/>
      <c r="G3957" s="19"/>
      <c r="N3957" s="19"/>
      <c r="P3957" s="19"/>
      <c r="AL3957" s="19"/>
    </row>
    <row r="3958" spans="1:38" s="11" customFormat="1" x14ac:dyDescent="0.25">
      <c r="A3958" s="3"/>
      <c r="F3958" s="19"/>
      <c r="G3958" s="19"/>
      <c r="N3958" s="19"/>
      <c r="P3958" s="19"/>
      <c r="AL3958" s="19"/>
    </row>
    <row r="3959" spans="1:38" s="11" customFormat="1" x14ac:dyDescent="0.25">
      <c r="A3959" s="3"/>
      <c r="F3959" s="19"/>
      <c r="G3959" s="19"/>
      <c r="N3959" s="19"/>
      <c r="P3959" s="19"/>
      <c r="AL3959" s="19"/>
    </row>
    <row r="3960" spans="1:38" s="11" customFormat="1" x14ac:dyDescent="0.25">
      <c r="A3960" s="3"/>
      <c r="F3960" s="19"/>
      <c r="G3960" s="19"/>
      <c r="N3960" s="19"/>
      <c r="P3960" s="19"/>
      <c r="AL3960" s="19"/>
    </row>
    <row r="3961" spans="1:38" s="11" customFormat="1" x14ac:dyDescent="0.25">
      <c r="A3961" s="3"/>
      <c r="F3961" s="19"/>
      <c r="G3961" s="19"/>
      <c r="N3961" s="19"/>
      <c r="P3961" s="19"/>
      <c r="AL3961" s="19"/>
    </row>
    <row r="3962" spans="1:38" s="11" customFormat="1" x14ac:dyDescent="0.25">
      <c r="A3962" s="3"/>
      <c r="F3962" s="19"/>
      <c r="G3962" s="19"/>
      <c r="N3962" s="19"/>
      <c r="P3962" s="19"/>
      <c r="AL3962" s="19"/>
    </row>
    <row r="3963" spans="1:38" s="11" customFormat="1" x14ac:dyDescent="0.25">
      <c r="A3963" s="3"/>
      <c r="F3963" s="19"/>
      <c r="G3963" s="19"/>
      <c r="N3963" s="19"/>
      <c r="P3963" s="19"/>
      <c r="AL3963" s="19"/>
    </row>
    <row r="3964" spans="1:38" s="11" customFormat="1" x14ac:dyDescent="0.25">
      <c r="A3964" s="3"/>
      <c r="F3964" s="19"/>
      <c r="G3964" s="19"/>
      <c r="N3964" s="19"/>
      <c r="P3964" s="19"/>
      <c r="AL3964" s="19"/>
    </row>
    <row r="3965" spans="1:38" s="11" customFormat="1" x14ac:dyDescent="0.25">
      <c r="A3965" s="3"/>
      <c r="F3965" s="19"/>
      <c r="G3965" s="19"/>
      <c r="N3965" s="19"/>
      <c r="P3965" s="19"/>
      <c r="AL3965" s="19"/>
    </row>
    <row r="3966" spans="1:38" s="11" customFormat="1" x14ac:dyDescent="0.25">
      <c r="A3966" s="3"/>
      <c r="F3966" s="19"/>
      <c r="G3966" s="19"/>
      <c r="N3966" s="19"/>
      <c r="P3966" s="19"/>
      <c r="AL3966" s="19"/>
    </row>
    <row r="3967" spans="1:38" s="11" customFormat="1" x14ac:dyDescent="0.25">
      <c r="A3967" s="3"/>
      <c r="F3967" s="19"/>
      <c r="G3967" s="19"/>
      <c r="N3967" s="19"/>
      <c r="P3967" s="19"/>
      <c r="AL3967" s="19"/>
    </row>
    <row r="3968" spans="1:38" s="11" customFormat="1" x14ac:dyDescent="0.25">
      <c r="A3968" s="3"/>
      <c r="F3968" s="19"/>
      <c r="G3968" s="19"/>
      <c r="N3968" s="19"/>
      <c r="P3968" s="19"/>
      <c r="AL3968" s="19"/>
    </row>
    <row r="3969" spans="1:38" s="11" customFormat="1" x14ac:dyDescent="0.25">
      <c r="A3969" s="3"/>
      <c r="F3969" s="19"/>
      <c r="G3969" s="19"/>
      <c r="N3969" s="19"/>
      <c r="P3969" s="19"/>
      <c r="AL3969" s="19"/>
    </row>
    <row r="3970" spans="1:38" s="11" customFormat="1" x14ac:dyDescent="0.25">
      <c r="A3970" s="3"/>
      <c r="F3970" s="19"/>
      <c r="G3970" s="19"/>
      <c r="N3970" s="19"/>
      <c r="P3970" s="19"/>
      <c r="AL3970" s="19"/>
    </row>
    <row r="3971" spans="1:38" s="11" customFormat="1" x14ac:dyDescent="0.25">
      <c r="A3971" s="3"/>
      <c r="F3971" s="19"/>
      <c r="G3971" s="19"/>
      <c r="N3971" s="19"/>
      <c r="P3971" s="19"/>
      <c r="AL3971" s="19"/>
    </row>
    <row r="3972" spans="1:38" s="11" customFormat="1" x14ac:dyDescent="0.25">
      <c r="A3972" s="3"/>
      <c r="F3972" s="19"/>
      <c r="G3972" s="19"/>
      <c r="N3972" s="19"/>
      <c r="P3972" s="19"/>
      <c r="AL3972" s="19"/>
    </row>
    <row r="3973" spans="1:38" s="11" customFormat="1" x14ac:dyDescent="0.25">
      <c r="A3973" s="3"/>
      <c r="F3973" s="19"/>
      <c r="G3973" s="19"/>
      <c r="N3973" s="19"/>
      <c r="P3973" s="19"/>
      <c r="AL3973" s="19"/>
    </row>
    <row r="3974" spans="1:38" s="11" customFormat="1" x14ac:dyDescent="0.25">
      <c r="A3974" s="3"/>
      <c r="F3974" s="19"/>
      <c r="G3974" s="19"/>
      <c r="N3974" s="19"/>
      <c r="P3974" s="19"/>
      <c r="AL3974" s="19"/>
    </row>
    <row r="3975" spans="1:38" s="11" customFormat="1" x14ac:dyDescent="0.25">
      <c r="A3975" s="3"/>
      <c r="F3975" s="19"/>
      <c r="G3975" s="19"/>
      <c r="N3975" s="19"/>
      <c r="P3975" s="19"/>
      <c r="AL3975" s="19"/>
    </row>
    <row r="3976" spans="1:38" s="11" customFormat="1" x14ac:dyDescent="0.25">
      <c r="A3976" s="3"/>
      <c r="F3976" s="19"/>
      <c r="G3976" s="19"/>
      <c r="N3976" s="19"/>
      <c r="P3976" s="19"/>
      <c r="AL3976" s="19"/>
    </row>
    <row r="3977" spans="1:38" s="11" customFormat="1" x14ac:dyDescent="0.25">
      <c r="A3977" s="3"/>
      <c r="F3977" s="19"/>
      <c r="G3977" s="19"/>
      <c r="N3977" s="19"/>
      <c r="P3977" s="19"/>
      <c r="AL3977" s="19"/>
    </row>
    <row r="3978" spans="1:38" s="11" customFormat="1" x14ac:dyDescent="0.25">
      <c r="A3978" s="3"/>
      <c r="F3978" s="19"/>
      <c r="G3978" s="19"/>
      <c r="N3978" s="19"/>
      <c r="P3978" s="19"/>
      <c r="AL3978" s="19"/>
    </row>
    <row r="3979" spans="1:38" s="11" customFormat="1" x14ac:dyDescent="0.25">
      <c r="A3979" s="3"/>
      <c r="F3979" s="19"/>
      <c r="G3979" s="19"/>
      <c r="N3979" s="19"/>
      <c r="P3979" s="19"/>
      <c r="AL3979" s="19"/>
    </row>
    <row r="3980" spans="1:38" s="11" customFormat="1" x14ac:dyDescent="0.25">
      <c r="A3980" s="3"/>
      <c r="F3980" s="19"/>
      <c r="G3980" s="19"/>
      <c r="N3980" s="19"/>
      <c r="P3980" s="19"/>
      <c r="AL3980" s="19"/>
    </row>
    <row r="3981" spans="1:38" s="11" customFormat="1" x14ac:dyDescent="0.25">
      <c r="A3981" s="3"/>
      <c r="F3981" s="19"/>
      <c r="G3981" s="19"/>
      <c r="N3981" s="19"/>
      <c r="P3981" s="19"/>
      <c r="AL3981" s="19"/>
    </row>
    <row r="3982" spans="1:38" s="11" customFormat="1" x14ac:dyDescent="0.25">
      <c r="A3982" s="3"/>
      <c r="F3982" s="19"/>
      <c r="G3982" s="19"/>
      <c r="N3982" s="19"/>
      <c r="P3982" s="19"/>
      <c r="AL3982" s="19"/>
    </row>
    <row r="3983" spans="1:38" s="11" customFormat="1" x14ac:dyDescent="0.25">
      <c r="A3983" s="3"/>
      <c r="F3983" s="19"/>
      <c r="G3983" s="19"/>
      <c r="N3983" s="19"/>
      <c r="P3983" s="19"/>
      <c r="AL3983" s="19"/>
    </row>
    <row r="3984" spans="1:38" s="11" customFormat="1" x14ac:dyDescent="0.25">
      <c r="A3984" s="3"/>
      <c r="F3984" s="19"/>
      <c r="G3984" s="19"/>
      <c r="N3984" s="19"/>
      <c r="P3984" s="19"/>
      <c r="AL3984" s="19"/>
    </row>
    <row r="3985" spans="1:38" s="11" customFormat="1" x14ac:dyDescent="0.25">
      <c r="A3985" s="3"/>
      <c r="F3985" s="19"/>
      <c r="G3985" s="19"/>
      <c r="N3985" s="19"/>
      <c r="P3985" s="19"/>
      <c r="AL3985" s="19"/>
    </row>
    <row r="3986" spans="1:38" s="11" customFormat="1" x14ac:dyDescent="0.25">
      <c r="A3986" s="3"/>
      <c r="F3986" s="19"/>
      <c r="G3986" s="19"/>
      <c r="N3986" s="19"/>
      <c r="P3986" s="19"/>
      <c r="AL3986" s="19"/>
    </row>
    <row r="3987" spans="1:38" s="11" customFormat="1" x14ac:dyDescent="0.25">
      <c r="A3987" s="3"/>
      <c r="F3987" s="19"/>
      <c r="G3987" s="19"/>
      <c r="N3987" s="19"/>
      <c r="P3987" s="19"/>
      <c r="AL3987" s="19"/>
    </row>
    <row r="3988" spans="1:38" s="11" customFormat="1" x14ac:dyDescent="0.25">
      <c r="A3988" s="3"/>
      <c r="F3988" s="19"/>
      <c r="G3988" s="19"/>
      <c r="N3988" s="19"/>
      <c r="P3988" s="19"/>
      <c r="AL3988" s="19"/>
    </row>
    <row r="3989" spans="1:38" s="11" customFormat="1" x14ac:dyDescent="0.25">
      <c r="A3989" s="3"/>
      <c r="F3989" s="19"/>
      <c r="G3989" s="19"/>
      <c r="N3989" s="19"/>
      <c r="P3989" s="19"/>
      <c r="AL3989" s="19"/>
    </row>
    <row r="3990" spans="1:38" s="11" customFormat="1" x14ac:dyDescent="0.25">
      <c r="A3990" s="3"/>
      <c r="F3990" s="19"/>
      <c r="G3990" s="19"/>
      <c r="N3990" s="19"/>
      <c r="P3990" s="19"/>
      <c r="AL3990" s="19"/>
    </row>
    <row r="3991" spans="1:38" s="11" customFormat="1" x14ac:dyDescent="0.25">
      <c r="A3991" s="3"/>
      <c r="F3991" s="19"/>
      <c r="G3991" s="19"/>
      <c r="N3991" s="19"/>
      <c r="P3991" s="19"/>
      <c r="AL3991" s="19"/>
    </row>
    <row r="3992" spans="1:38" s="11" customFormat="1" x14ac:dyDescent="0.25">
      <c r="A3992" s="3"/>
      <c r="F3992" s="19"/>
      <c r="G3992" s="19"/>
      <c r="N3992" s="19"/>
      <c r="P3992" s="19"/>
      <c r="AL3992" s="19"/>
    </row>
    <row r="3993" spans="1:38" s="11" customFormat="1" x14ac:dyDescent="0.25">
      <c r="A3993" s="3"/>
      <c r="F3993" s="19"/>
      <c r="G3993" s="19"/>
      <c r="N3993" s="19"/>
      <c r="P3993" s="19"/>
      <c r="AL3993" s="19"/>
    </row>
    <row r="3994" spans="1:38" s="11" customFormat="1" x14ac:dyDescent="0.25">
      <c r="A3994" s="3"/>
      <c r="F3994" s="19"/>
      <c r="G3994" s="19"/>
      <c r="N3994" s="19"/>
      <c r="P3994" s="19"/>
      <c r="AL3994" s="19"/>
    </row>
    <row r="3995" spans="1:38" s="11" customFormat="1" x14ac:dyDescent="0.25">
      <c r="A3995" s="3"/>
      <c r="F3995" s="19"/>
      <c r="G3995" s="19"/>
      <c r="N3995" s="19"/>
      <c r="P3995" s="19"/>
      <c r="AL3995" s="19"/>
    </row>
    <row r="3996" spans="1:38" s="11" customFormat="1" x14ac:dyDescent="0.25">
      <c r="A3996" s="3"/>
      <c r="F3996" s="19"/>
      <c r="G3996" s="19"/>
      <c r="N3996" s="19"/>
      <c r="P3996" s="19"/>
      <c r="AL3996" s="19"/>
    </row>
    <row r="3997" spans="1:38" s="11" customFormat="1" x14ac:dyDescent="0.25">
      <c r="A3997" s="3"/>
      <c r="F3997" s="19"/>
      <c r="G3997" s="19"/>
      <c r="N3997" s="19"/>
      <c r="P3997" s="19"/>
      <c r="AL3997" s="19"/>
    </row>
    <row r="3998" spans="1:38" s="11" customFormat="1" x14ac:dyDescent="0.25">
      <c r="A3998" s="3"/>
      <c r="F3998" s="19"/>
      <c r="G3998" s="19"/>
      <c r="N3998" s="19"/>
      <c r="P3998" s="19"/>
      <c r="AL3998" s="19"/>
    </row>
    <row r="3999" spans="1:38" s="11" customFormat="1" x14ac:dyDescent="0.25">
      <c r="A3999" s="3"/>
      <c r="F3999" s="19"/>
      <c r="G3999" s="19"/>
      <c r="N3999" s="19"/>
      <c r="P3999" s="19"/>
      <c r="AL3999" s="19"/>
    </row>
    <row r="4000" spans="1:38" s="11" customFormat="1" x14ac:dyDescent="0.25">
      <c r="A4000" s="3"/>
      <c r="F4000" s="19"/>
      <c r="G4000" s="19"/>
      <c r="N4000" s="19"/>
      <c r="P4000" s="19"/>
      <c r="AL4000" s="19"/>
    </row>
    <row r="4001" spans="1:38" s="11" customFormat="1" x14ac:dyDescent="0.25">
      <c r="A4001" s="3"/>
      <c r="F4001" s="19"/>
      <c r="G4001" s="19"/>
      <c r="N4001" s="19"/>
      <c r="P4001" s="19"/>
      <c r="AL4001" s="19"/>
    </row>
    <row r="4002" spans="1:38" s="11" customFormat="1" x14ac:dyDescent="0.25">
      <c r="A4002" s="3"/>
      <c r="F4002" s="19"/>
      <c r="G4002" s="19"/>
      <c r="N4002" s="19"/>
      <c r="P4002" s="19"/>
      <c r="AL4002" s="19"/>
    </row>
    <row r="4003" spans="1:38" s="11" customFormat="1" x14ac:dyDescent="0.25">
      <c r="A4003" s="3"/>
      <c r="F4003" s="19"/>
      <c r="G4003" s="19"/>
      <c r="N4003" s="19"/>
      <c r="P4003" s="19"/>
      <c r="AL4003" s="19"/>
    </row>
    <row r="4004" spans="1:38" s="11" customFormat="1" x14ac:dyDescent="0.25">
      <c r="A4004" s="3"/>
      <c r="F4004" s="19"/>
      <c r="G4004" s="19"/>
      <c r="N4004" s="19"/>
      <c r="P4004" s="19"/>
      <c r="AL4004" s="19"/>
    </row>
    <row r="4005" spans="1:38" s="11" customFormat="1" x14ac:dyDescent="0.25">
      <c r="A4005" s="3"/>
      <c r="F4005" s="19"/>
      <c r="G4005" s="19"/>
      <c r="N4005" s="19"/>
      <c r="P4005" s="19"/>
      <c r="AL4005" s="19"/>
    </row>
    <row r="4006" spans="1:38" s="11" customFormat="1" x14ac:dyDescent="0.25">
      <c r="A4006" s="3"/>
      <c r="F4006" s="19"/>
      <c r="G4006" s="19"/>
      <c r="N4006" s="19"/>
      <c r="P4006" s="19"/>
      <c r="AL4006" s="19"/>
    </row>
    <row r="4007" spans="1:38" s="11" customFormat="1" x14ac:dyDescent="0.25">
      <c r="A4007" s="3"/>
      <c r="F4007" s="19"/>
      <c r="G4007" s="19"/>
      <c r="N4007" s="19"/>
      <c r="P4007" s="19"/>
      <c r="AL4007" s="19"/>
    </row>
    <row r="4008" spans="1:38" s="11" customFormat="1" x14ac:dyDescent="0.25">
      <c r="A4008" s="3"/>
      <c r="F4008" s="19"/>
      <c r="G4008" s="19"/>
      <c r="N4008" s="19"/>
      <c r="P4008" s="19"/>
      <c r="AL4008" s="19"/>
    </row>
    <row r="4009" spans="1:38" s="11" customFormat="1" x14ac:dyDescent="0.25">
      <c r="A4009" s="3"/>
      <c r="F4009" s="19"/>
      <c r="G4009" s="19"/>
      <c r="N4009" s="19"/>
      <c r="P4009" s="19"/>
      <c r="AL4009" s="19"/>
    </row>
    <row r="4010" spans="1:38" s="11" customFormat="1" x14ac:dyDescent="0.25">
      <c r="A4010" s="3"/>
      <c r="F4010" s="19"/>
      <c r="G4010" s="19"/>
      <c r="N4010" s="19"/>
      <c r="P4010" s="19"/>
      <c r="AL4010" s="19"/>
    </row>
    <row r="4011" spans="1:38" s="11" customFormat="1" x14ac:dyDescent="0.25">
      <c r="A4011" s="3"/>
      <c r="F4011" s="19"/>
      <c r="G4011" s="19"/>
      <c r="N4011" s="19"/>
      <c r="P4011" s="19"/>
      <c r="AL4011" s="19"/>
    </row>
    <row r="4012" spans="1:38" s="11" customFormat="1" x14ac:dyDescent="0.25">
      <c r="A4012" s="3"/>
      <c r="F4012" s="19"/>
      <c r="G4012" s="19"/>
      <c r="N4012" s="19"/>
      <c r="P4012" s="19"/>
      <c r="AL4012" s="19"/>
    </row>
    <row r="4013" spans="1:38" s="11" customFormat="1" x14ac:dyDescent="0.25">
      <c r="A4013" s="3"/>
      <c r="F4013" s="19"/>
      <c r="G4013" s="19"/>
      <c r="N4013" s="19"/>
      <c r="P4013" s="19"/>
      <c r="AL4013" s="19"/>
    </row>
    <row r="4014" spans="1:38" s="11" customFormat="1" x14ac:dyDescent="0.25">
      <c r="A4014" s="3"/>
      <c r="F4014" s="19"/>
      <c r="G4014" s="19"/>
      <c r="N4014" s="19"/>
      <c r="P4014" s="19"/>
      <c r="AL4014" s="19"/>
    </row>
    <row r="4015" spans="1:38" s="11" customFormat="1" x14ac:dyDescent="0.25">
      <c r="A4015" s="3"/>
      <c r="F4015" s="19"/>
      <c r="G4015" s="19"/>
      <c r="N4015" s="19"/>
      <c r="P4015" s="19"/>
      <c r="AL4015" s="19"/>
    </row>
    <row r="4016" spans="1:38" s="11" customFormat="1" x14ac:dyDescent="0.25">
      <c r="A4016" s="3"/>
      <c r="F4016" s="19"/>
      <c r="G4016" s="19"/>
      <c r="N4016" s="19"/>
      <c r="P4016" s="19"/>
      <c r="AL4016" s="19"/>
    </row>
    <row r="4017" spans="1:38" s="11" customFormat="1" x14ac:dyDescent="0.25">
      <c r="A4017" s="3"/>
      <c r="F4017" s="19"/>
      <c r="G4017" s="19"/>
      <c r="N4017" s="19"/>
      <c r="P4017" s="19"/>
      <c r="AL4017" s="19"/>
    </row>
    <row r="4018" spans="1:38" s="11" customFormat="1" x14ac:dyDescent="0.25">
      <c r="A4018" s="3"/>
      <c r="F4018" s="19"/>
      <c r="G4018" s="19"/>
      <c r="N4018" s="19"/>
      <c r="P4018" s="19"/>
      <c r="AL4018" s="19"/>
    </row>
    <row r="4019" spans="1:38" s="11" customFormat="1" x14ac:dyDescent="0.25">
      <c r="A4019" s="3"/>
      <c r="F4019" s="19"/>
      <c r="G4019" s="19"/>
      <c r="N4019" s="19"/>
      <c r="P4019" s="19"/>
      <c r="AL4019" s="19"/>
    </row>
    <row r="4020" spans="1:38" s="11" customFormat="1" x14ac:dyDescent="0.25">
      <c r="A4020" s="3"/>
      <c r="F4020" s="19"/>
      <c r="G4020" s="19"/>
      <c r="N4020" s="19"/>
      <c r="P4020" s="19"/>
      <c r="AL4020" s="19"/>
    </row>
    <row r="4021" spans="1:38" s="11" customFormat="1" x14ac:dyDescent="0.25">
      <c r="A4021" s="3"/>
      <c r="F4021" s="19"/>
      <c r="G4021" s="19"/>
      <c r="N4021" s="19"/>
      <c r="P4021" s="19"/>
      <c r="AL4021" s="19"/>
    </row>
    <row r="4022" spans="1:38" s="11" customFormat="1" x14ac:dyDescent="0.25">
      <c r="A4022" s="3"/>
      <c r="F4022" s="19"/>
      <c r="G4022" s="19"/>
      <c r="N4022" s="19"/>
      <c r="P4022" s="19"/>
      <c r="AL4022" s="19"/>
    </row>
    <row r="4023" spans="1:38" s="11" customFormat="1" x14ac:dyDescent="0.25">
      <c r="A4023" s="3"/>
      <c r="F4023" s="19"/>
      <c r="G4023" s="19"/>
      <c r="N4023" s="19"/>
      <c r="P4023" s="19"/>
      <c r="AL4023" s="19"/>
    </row>
    <row r="4024" spans="1:38" s="11" customFormat="1" x14ac:dyDescent="0.25">
      <c r="A4024" s="3"/>
      <c r="F4024" s="19"/>
      <c r="G4024" s="19"/>
      <c r="N4024" s="19"/>
      <c r="P4024" s="19"/>
      <c r="AL4024" s="19"/>
    </row>
    <row r="4025" spans="1:38" s="11" customFormat="1" x14ac:dyDescent="0.25">
      <c r="A4025" s="3"/>
      <c r="F4025" s="19"/>
      <c r="G4025" s="19"/>
      <c r="N4025" s="19"/>
      <c r="P4025" s="19"/>
      <c r="AL4025" s="19"/>
    </row>
    <row r="4026" spans="1:38" s="11" customFormat="1" x14ac:dyDescent="0.25">
      <c r="A4026" s="3"/>
      <c r="F4026" s="19"/>
      <c r="G4026" s="19"/>
      <c r="N4026" s="19"/>
      <c r="P4026" s="19"/>
      <c r="AL4026" s="19"/>
    </row>
    <row r="4027" spans="1:38" s="11" customFormat="1" x14ac:dyDescent="0.25">
      <c r="A4027" s="3"/>
      <c r="F4027" s="19"/>
      <c r="G4027" s="19"/>
      <c r="N4027" s="19"/>
      <c r="P4027" s="19"/>
      <c r="AL4027" s="19"/>
    </row>
    <row r="4028" spans="1:38" s="11" customFormat="1" x14ac:dyDescent="0.25">
      <c r="A4028" s="3"/>
      <c r="F4028" s="19"/>
      <c r="G4028" s="19"/>
      <c r="N4028" s="19"/>
      <c r="P4028" s="19"/>
      <c r="AL4028" s="19"/>
    </row>
    <row r="4029" spans="1:38" s="11" customFormat="1" x14ac:dyDescent="0.25">
      <c r="A4029" s="3"/>
      <c r="F4029" s="19"/>
      <c r="G4029" s="19"/>
      <c r="N4029" s="19"/>
      <c r="P4029" s="19"/>
      <c r="AL4029" s="19"/>
    </row>
    <row r="4030" spans="1:38" s="11" customFormat="1" x14ac:dyDescent="0.25">
      <c r="A4030" s="3"/>
      <c r="F4030" s="19"/>
      <c r="G4030" s="19"/>
      <c r="N4030" s="19"/>
      <c r="P4030" s="19"/>
      <c r="AL4030" s="19"/>
    </row>
    <row r="4031" spans="1:38" s="11" customFormat="1" x14ac:dyDescent="0.25">
      <c r="A4031" s="3"/>
      <c r="F4031" s="19"/>
      <c r="G4031" s="19"/>
      <c r="N4031" s="19"/>
      <c r="P4031" s="19"/>
      <c r="AL4031" s="19"/>
    </row>
    <row r="4032" spans="1:38" s="11" customFormat="1" x14ac:dyDescent="0.25">
      <c r="A4032" s="3"/>
      <c r="F4032" s="19"/>
      <c r="G4032" s="19"/>
      <c r="N4032" s="19"/>
      <c r="P4032" s="19"/>
      <c r="AL4032" s="19"/>
    </row>
    <row r="4033" spans="1:38" s="11" customFormat="1" x14ac:dyDescent="0.25">
      <c r="A4033" s="3"/>
      <c r="F4033" s="19"/>
      <c r="G4033" s="19"/>
      <c r="N4033" s="19"/>
      <c r="P4033" s="19"/>
      <c r="AL4033" s="19"/>
    </row>
    <row r="4034" spans="1:38" s="11" customFormat="1" x14ac:dyDescent="0.25">
      <c r="A4034" s="3"/>
      <c r="F4034" s="19"/>
      <c r="G4034" s="19"/>
      <c r="N4034" s="19"/>
      <c r="P4034" s="19"/>
      <c r="AL4034" s="19"/>
    </row>
    <row r="4035" spans="1:38" s="11" customFormat="1" x14ac:dyDescent="0.25">
      <c r="A4035" s="3"/>
      <c r="F4035" s="19"/>
      <c r="G4035" s="19"/>
      <c r="N4035" s="19"/>
      <c r="P4035" s="19"/>
      <c r="AL4035" s="19"/>
    </row>
    <row r="4036" spans="1:38" s="11" customFormat="1" x14ac:dyDescent="0.25">
      <c r="A4036" s="3"/>
      <c r="F4036" s="19"/>
      <c r="G4036" s="19"/>
      <c r="N4036" s="19"/>
      <c r="P4036" s="19"/>
      <c r="AL4036" s="19"/>
    </row>
    <row r="4037" spans="1:38" s="11" customFormat="1" x14ac:dyDescent="0.25">
      <c r="A4037" s="3"/>
      <c r="F4037" s="19"/>
      <c r="G4037" s="19"/>
      <c r="N4037" s="19"/>
      <c r="P4037" s="19"/>
      <c r="AL4037" s="19"/>
    </row>
    <row r="4038" spans="1:38" s="11" customFormat="1" x14ac:dyDescent="0.25">
      <c r="A4038" s="3"/>
      <c r="F4038" s="19"/>
      <c r="G4038" s="19"/>
      <c r="N4038" s="19"/>
      <c r="P4038" s="19"/>
      <c r="AL4038" s="19"/>
    </row>
    <row r="4039" spans="1:38" s="11" customFormat="1" x14ac:dyDescent="0.25">
      <c r="A4039" s="3"/>
      <c r="F4039" s="19"/>
      <c r="G4039" s="19"/>
      <c r="N4039" s="19"/>
      <c r="P4039" s="19"/>
      <c r="AL4039" s="19"/>
    </row>
    <row r="4040" spans="1:38" s="11" customFormat="1" x14ac:dyDescent="0.25">
      <c r="A4040" s="3"/>
      <c r="F4040" s="19"/>
      <c r="G4040" s="19"/>
      <c r="N4040" s="19"/>
      <c r="P4040" s="19"/>
      <c r="AL4040" s="19"/>
    </row>
    <row r="4041" spans="1:38" s="11" customFormat="1" x14ac:dyDescent="0.25">
      <c r="A4041" s="3"/>
      <c r="F4041" s="19"/>
      <c r="G4041" s="19"/>
      <c r="N4041" s="19"/>
      <c r="P4041" s="19"/>
      <c r="AL4041" s="19"/>
    </row>
    <row r="4042" spans="1:38" s="11" customFormat="1" x14ac:dyDescent="0.25">
      <c r="A4042" s="3"/>
      <c r="F4042" s="19"/>
      <c r="G4042" s="19"/>
      <c r="N4042" s="19"/>
      <c r="P4042" s="19"/>
      <c r="AL4042" s="19"/>
    </row>
    <row r="4043" spans="1:38" s="11" customFormat="1" x14ac:dyDescent="0.25">
      <c r="A4043" s="3"/>
      <c r="F4043" s="19"/>
      <c r="G4043" s="19"/>
      <c r="N4043" s="19"/>
      <c r="P4043" s="19"/>
      <c r="AL4043" s="19"/>
    </row>
    <row r="4044" spans="1:38" s="11" customFormat="1" x14ac:dyDescent="0.25">
      <c r="A4044" s="3"/>
      <c r="F4044" s="19"/>
      <c r="G4044" s="19"/>
      <c r="N4044" s="19"/>
      <c r="P4044" s="19"/>
      <c r="AL4044" s="19"/>
    </row>
    <row r="4045" spans="1:38" s="11" customFormat="1" x14ac:dyDescent="0.25">
      <c r="A4045" s="3"/>
      <c r="F4045" s="19"/>
      <c r="G4045" s="19"/>
      <c r="N4045" s="19"/>
      <c r="P4045" s="19"/>
      <c r="AL4045" s="19"/>
    </row>
    <row r="4046" spans="1:38" s="11" customFormat="1" x14ac:dyDescent="0.25">
      <c r="A4046" s="3"/>
      <c r="F4046" s="19"/>
      <c r="G4046" s="19"/>
      <c r="N4046" s="19"/>
      <c r="P4046" s="19"/>
      <c r="AL4046" s="19"/>
    </row>
    <row r="4047" spans="1:38" s="11" customFormat="1" x14ac:dyDescent="0.25">
      <c r="A4047" s="3"/>
      <c r="F4047" s="19"/>
      <c r="G4047" s="19"/>
      <c r="N4047" s="19"/>
      <c r="P4047" s="19"/>
      <c r="AL4047" s="19"/>
    </row>
    <row r="4048" spans="1:38" s="11" customFormat="1" x14ac:dyDescent="0.25">
      <c r="A4048" s="3"/>
      <c r="F4048" s="19"/>
      <c r="G4048" s="19"/>
      <c r="N4048" s="19"/>
      <c r="P4048" s="19"/>
      <c r="AL4048" s="19"/>
    </row>
    <row r="4049" spans="1:38" s="11" customFormat="1" x14ac:dyDescent="0.25">
      <c r="A4049" s="3"/>
      <c r="F4049" s="19"/>
      <c r="G4049" s="19"/>
      <c r="N4049" s="19"/>
      <c r="P4049" s="19"/>
      <c r="AL4049" s="19"/>
    </row>
    <row r="4050" spans="1:38" s="11" customFormat="1" x14ac:dyDescent="0.25">
      <c r="A4050" s="3"/>
      <c r="F4050" s="19"/>
      <c r="G4050" s="19"/>
      <c r="N4050" s="19"/>
      <c r="P4050" s="19"/>
      <c r="AL4050" s="19"/>
    </row>
    <row r="4051" spans="1:38" s="11" customFormat="1" x14ac:dyDescent="0.25">
      <c r="A4051" s="3"/>
      <c r="F4051" s="19"/>
      <c r="G4051" s="19"/>
      <c r="N4051" s="19"/>
      <c r="P4051" s="19"/>
      <c r="AL4051" s="19"/>
    </row>
    <row r="4052" spans="1:38" s="11" customFormat="1" x14ac:dyDescent="0.25">
      <c r="A4052" s="3"/>
      <c r="F4052" s="19"/>
      <c r="G4052" s="19"/>
      <c r="N4052" s="19"/>
      <c r="P4052" s="19"/>
      <c r="AL4052" s="19"/>
    </row>
    <row r="4053" spans="1:38" s="11" customFormat="1" x14ac:dyDescent="0.25">
      <c r="A4053" s="3"/>
      <c r="F4053" s="19"/>
      <c r="G4053" s="19"/>
      <c r="N4053" s="19"/>
      <c r="P4053" s="19"/>
      <c r="AL4053" s="19"/>
    </row>
    <row r="4054" spans="1:38" s="11" customFormat="1" x14ac:dyDescent="0.25">
      <c r="A4054" s="3"/>
      <c r="F4054" s="19"/>
      <c r="G4054" s="19"/>
      <c r="N4054" s="19"/>
      <c r="P4054" s="19"/>
      <c r="AL4054" s="19"/>
    </row>
    <row r="4055" spans="1:38" s="11" customFormat="1" x14ac:dyDescent="0.25">
      <c r="A4055" s="3"/>
      <c r="F4055" s="19"/>
      <c r="G4055" s="19"/>
      <c r="N4055" s="19"/>
      <c r="P4055" s="19"/>
      <c r="AL4055" s="19"/>
    </row>
    <row r="4056" spans="1:38" s="11" customFormat="1" x14ac:dyDescent="0.25">
      <c r="A4056" s="3"/>
      <c r="F4056" s="19"/>
      <c r="G4056" s="19"/>
      <c r="N4056" s="19"/>
      <c r="P4056" s="19"/>
      <c r="AL4056" s="19"/>
    </row>
    <row r="4057" spans="1:38" s="11" customFormat="1" x14ac:dyDescent="0.25">
      <c r="A4057" s="3"/>
      <c r="F4057" s="19"/>
      <c r="G4057" s="19"/>
      <c r="N4057" s="19"/>
      <c r="P4057" s="19"/>
      <c r="AL4057" s="19"/>
    </row>
    <row r="4058" spans="1:38" s="11" customFormat="1" x14ac:dyDescent="0.25">
      <c r="A4058" s="3"/>
      <c r="F4058" s="19"/>
      <c r="G4058" s="19"/>
      <c r="N4058" s="19"/>
      <c r="P4058" s="19"/>
      <c r="AL4058" s="19"/>
    </row>
    <row r="4059" spans="1:38" s="11" customFormat="1" x14ac:dyDescent="0.25">
      <c r="A4059" s="3"/>
      <c r="F4059" s="19"/>
      <c r="G4059" s="19"/>
      <c r="N4059" s="19"/>
      <c r="P4059" s="19"/>
      <c r="AL4059" s="19"/>
    </row>
    <row r="4060" spans="1:38" s="11" customFormat="1" x14ac:dyDescent="0.25">
      <c r="A4060" s="3"/>
      <c r="F4060" s="19"/>
      <c r="G4060" s="19"/>
      <c r="N4060" s="19"/>
      <c r="P4060" s="19"/>
      <c r="AL4060" s="19"/>
    </row>
    <row r="4061" spans="1:38" s="11" customFormat="1" x14ac:dyDescent="0.25">
      <c r="A4061" s="3"/>
      <c r="F4061" s="19"/>
      <c r="G4061" s="19"/>
      <c r="N4061" s="19"/>
      <c r="P4061" s="19"/>
      <c r="AL4061" s="19"/>
    </row>
    <row r="4062" spans="1:38" s="11" customFormat="1" x14ac:dyDescent="0.25">
      <c r="A4062" s="3"/>
      <c r="F4062" s="19"/>
      <c r="G4062" s="19"/>
      <c r="N4062" s="19"/>
      <c r="P4062" s="19"/>
      <c r="AL4062" s="19"/>
    </row>
    <row r="4063" spans="1:38" s="11" customFormat="1" x14ac:dyDescent="0.25">
      <c r="A4063" s="3"/>
      <c r="F4063" s="19"/>
      <c r="G4063" s="19"/>
      <c r="N4063" s="19"/>
      <c r="P4063" s="19"/>
      <c r="AL4063" s="19"/>
    </row>
    <row r="4064" spans="1:38" s="11" customFormat="1" x14ac:dyDescent="0.25">
      <c r="A4064" s="3"/>
      <c r="F4064" s="19"/>
      <c r="G4064" s="19"/>
      <c r="N4064" s="19"/>
      <c r="P4064" s="19"/>
      <c r="AL4064" s="19"/>
    </row>
    <row r="4065" spans="1:38" s="11" customFormat="1" x14ac:dyDescent="0.25">
      <c r="A4065" s="3"/>
      <c r="F4065" s="19"/>
      <c r="G4065" s="19"/>
      <c r="N4065" s="19"/>
      <c r="P4065" s="19"/>
      <c r="AL4065" s="19"/>
    </row>
    <row r="4066" spans="1:38" s="11" customFormat="1" x14ac:dyDescent="0.25">
      <c r="A4066" s="3"/>
      <c r="F4066" s="19"/>
      <c r="G4066" s="19"/>
      <c r="N4066" s="19"/>
      <c r="P4066" s="19"/>
      <c r="AL4066" s="19"/>
    </row>
    <row r="4067" spans="1:38" s="11" customFormat="1" x14ac:dyDescent="0.25">
      <c r="A4067" s="3"/>
      <c r="F4067" s="19"/>
      <c r="G4067" s="19"/>
      <c r="N4067" s="19"/>
      <c r="P4067" s="19"/>
      <c r="AL4067" s="19"/>
    </row>
    <row r="4068" spans="1:38" s="11" customFormat="1" x14ac:dyDescent="0.25">
      <c r="A4068" s="3"/>
      <c r="F4068" s="19"/>
      <c r="G4068" s="19"/>
      <c r="N4068" s="19"/>
      <c r="P4068" s="19"/>
      <c r="AL4068" s="19"/>
    </row>
    <row r="4069" spans="1:38" s="11" customFormat="1" x14ac:dyDescent="0.25">
      <c r="A4069" s="3"/>
      <c r="F4069" s="19"/>
      <c r="G4069" s="19"/>
      <c r="N4069" s="19"/>
      <c r="P4069" s="19"/>
      <c r="AL4069" s="19"/>
    </row>
    <row r="4070" spans="1:38" s="11" customFormat="1" x14ac:dyDescent="0.25">
      <c r="A4070" s="3"/>
      <c r="F4070" s="19"/>
      <c r="G4070" s="19"/>
      <c r="N4070" s="19"/>
      <c r="P4070" s="19"/>
      <c r="AL4070" s="19"/>
    </row>
    <row r="4071" spans="1:38" s="11" customFormat="1" x14ac:dyDescent="0.25">
      <c r="A4071" s="3"/>
      <c r="F4071" s="19"/>
      <c r="G4071" s="19"/>
      <c r="N4071" s="19"/>
      <c r="P4071" s="19"/>
      <c r="AL4071" s="19"/>
    </row>
    <row r="4072" spans="1:38" s="11" customFormat="1" x14ac:dyDescent="0.25">
      <c r="A4072" s="3"/>
      <c r="F4072" s="19"/>
      <c r="G4072" s="19"/>
      <c r="N4072" s="19"/>
      <c r="P4072" s="19"/>
      <c r="AL4072" s="19"/>
    </row>
    <row r="4073" spans="1:38" s="11" customFormat="1" x14ac:dyDescent="0.25">
      <c r="A4073" s="3"/>
      <c r="F4073" s="19"/>
      <c r="G4073" s="19"/>
      <c r="N4073" s="19"/>
      <c r="P4073" s="19"/>
      <c r="AL4073" s="19"/>
    </row>
    <row r="4074" spans="1:38" s="11" customFormat="1" x14ac:dyDescent="0.25">
      <c r="A4074" s="3"/>
      <c r="F4074" s="19"/>
      <c r="G4074" s="19"/>
      <c r="N4074" s="19"/>
      <c r="P4074" s="19"/>
      <c r="AL4074" s="19"/>
    </row>
    <row r="4075" spans="1:38" s="11" customFormat="1" x14ac:dyDescent="0.25">
      <c r="A4075" s="3"/>
      <c r="F4075" s="19"/>
      <c r="G4075" s="19"/>
      <c r="N4075" s="19"/>
      <c r="P4075" s="19"/>
      <c r="AL4075" s="19"/>
    </row>
    <row r="4076" spans="1:38" s="11" customFormat="1" x14ac:dyDescent="0.25">
      <c r="A4076" s="3"/>
      <c r="F4076" s="19"/>
      <c r="G4076" s="19"/>
      <c r="N4076" s="19"/>
      <c r="P4076" s="19"/>
      <c r="AL4076" s="19"/>
    </row>
    <row r="4077" spans="1:38" s="11" customFormat="1" x14ac:dyDescent="0.25">
      <c r="A4077" s="3"/>
      <c r="F4077" s="19"/>
      <c r="G4077" s="19"/>
      <c r="N4077" s="19"/>
      <c r="P4077" s="19"/>
      <c r="AL4077" s="19"/>
    </row>
    <row r="4078" spans="1:38" s="11" customFormat="1" x14ac:dyDescent="0.25">
      <c r="A4078" s="3"/>
      <c r="F4078" s="19"/>
      <c r="G4078" s="19"/>
      <c r="N4078" s="19"/>
      <c r="P4078" s="19"/>
      <c r="AL4078" s="19"/>
    </row>
    <row r="4079" spans="1:38" s="11" customFormat="1" x14ac:dyDescent="0.25">
      <c r="A4079" s="3"/>
      <c r="F4079" s="19"/>
      <c r="G4079" s="19"/>
      <c r="N4079" s="19"/>
      <c r="P4079" s="19"/>
      <c r="AL4079" s="19"/>
    </row>
    <row r="4080" spans="1:38" s="11" customFormat="1" x14ac:dyDescent="0.25">
      <c r="A4080" s="3"/>
      <c r="F4080" s="19"/>
      <c r="G4080" s="19"/>
      <c r="N4080" s="19"/>
      <c r="P4080" s="19"/>
      <c r="AL4080" s="19"/>
    </row>
    <row r="4081" spans="1:38" s="11" customFormat="1" x14ac:dyDescent="0.25">
      <c r="A4081" s="3"/>
      <c r="F4081" s="19"/>
      <c r="G4081" s="19"/>
      <c r="N4081" s="19"/>
      <c r="P4081" s="19"/>
      <c r="AL4081" s="19"/>
    </row>
    <row r="4082" spans="1:38" s="11" customFormat="1" x14ac:dyDescent="0.25">
      <c r="A4082" s="3"/>
      <c r="F4082" s="19"/>
      <c r="G4082" s="19"/>
      <c r="N4082" s="19"/>
      <c r="P4082" s="19"/>
      <c r="AL4082" s="19"/>
    </row>
    <row r="4083" spans="1:38" s="11" customFormat="1" x14ac:dyDescent="0.25">
      <c r="A4083" s="3"/>
      <c r="F4083" s="19"/>
      <c r="G4083" s="19"/>
      <c r="N4083" s="19"/>
      <c r="P4083" s="19"/>
      <c r="AL4083" s="19"/>
    </row>
    <row r="4084" spans="1:38" s="11" customFormat="1" x14ac:dyDescent="0.25">
      <c r="A4084" s="3"/>
      <c r="F4084" s="19"/>
      <c r="G4084" s="19"/>
      <c r="N4084" s="19"/>
      <c r="P4084" s="19"/>
      <c r="AL4084" s="19"/>
    </row>
    <row r="4085" spans="1:38" s="11" customFormat="1" x14ac:dyDescent="0.25">
      <c r="A4085" s="3"/>
      <c r="F4085" s="19"/>
      <c r="G4085" s="19"/>
      <c r="N4085" s="19"/>
      <c r="P4085" s="19"/>
      <c r="AL4085" s="19"/>
    </row>
    <row r="4086" spans="1:38" s="11" customFormat="1" x14ac:dyDescent="0.25">
      <c r="A4086" s="3"/>
      <c r="F4086" s="19"/>
      <c r="G4086" s="19"/>
      <c r="N4086" s="19"/>
      <c r="P4086" s="19"/>
      <c r="AL4086" s="19"/>
    </row>
    <row r="4087" spans="1:38" s="11" customFormat="1" x14ac:dyDescent="0.25">
      <c r="A4087" s="3"/>
      <c r="F4087" s="19"/>
      <c r="G4087" s="19"/>
      <c r="N4087" s="19"/>
      <c r="P4087" s="19"/>
      <c r="AL4087" s="19"/>
    </row>
    <row r="4088" spans="1:38" s="11" customFormat="1" x14ac:dyDescent="0.25">
      <c r="A4088" s="3"/>
      <c r="F4088" s="19"/>
      <c r="G4088" s="19"/>
      <c r="N4088" s="19"/>
      <c r="P4088" s="19"/>
      <c r="AL4088" s="19"/>
    </row>
    <row r="4089" spans="1:38" s="11" customFormat="1" x14ac:dyDescent="0.25">
      <c r="A4089" s="3"/>
      <c r="F4089" s="19"/>
      <c r="G4089" s="19"/>
      <c r="N4089" s="19"/>
      <c r="P4089" s="19"/>
      <c r="AL4089" s="19"/>
    </row>
    <row r="4090" spans="1:38" s="11" customFormat="1" x14ac:dyDescent="0.25">
      <c r="A4090" s="3"/>
      <c r="F4090" s="19"/>
      <c r="G4090" s="19"/>
      <c r="N4090" s="19"/>
      <c r="P4090" s="19"/>
      <c r="AL4090" s="19"/>
    </row>
    <row r="4091" spans="1:38" s="11" customFormat="1" x14ac:dyDescent="0.25">
      <c r="A4091" s="3"/>
      <c r="F4091" s="19"/>
      <c r="G4091" s="19"/>
      <c r="N4091" s="19"/>
      <c r="P4091" s="19"/>
      <c r="AL4091" s="19"/>
    </row>
    <row r="4092" spans="1:38" s="11" customFormat="1" x14ac:dyDescent="0.25">
      <c r="A4092" s="3"/>
      <c r="F4092" s="19"/>
      <c r="G4092" s="19"/>
      <c r="N4092" s="19"/>
      <c r="P4092" s="19"/>
      <c r="AL4092" s="19"/>
    </row>
    <row r="4093" spans="1:38" s="11" customFormat="1" x14ac:dyDescent="0.25">
      <c r="A4093" s="3"/>
      <c r="F4093" s="19"/>
      <c r="G4093" s="19"/>
      <c r="N4093" s="19"/>
      <c r="P4093" s="19"/>
      <c r="AL4093" s="19"/>
    </row>
    <row r="4094" spans="1:38" s="11" customFormat="1" x14ac:dyDescent="0.25">
      <c r="A4094" s="3"/>
      <c r="F4094" s="19"/>
      <c r="G4094" s="19"/>
      <c r="N4094" s="19"/>
      <c r="P4094" s="19"/>
      <c r="AL4094" s="19"/>
    </row>
    <row r="4095" spans="1:38" s="11" customFormat="1" x14ac:dyDescent="0.25">
      <c r="A4095" s="3"/>
      <c r="F4095" s="19"/>
      <c r="G4095" s="19"/>
      <c r="N4095" s="19"/>
      <c r="P4095" s="19"/>
      <c r="AL4095" s="19"/>
    </row>
    <row r="4096" spans="1:38" s="11" customFormat="1" x14ac:dyDescent="0.25">
      <c r="A4096" s="3"/>
      <c r="F4096" s="19"/>
      <c r="G4096" s="19"/>
      <c r="N4096" s="19"/>
      <c r="P4096" s="19"/>
      <c r="AL4096" s="19"/>
    </row>
    <row r="4097" spans="1:38" s="11" customFormat="1" x14ac:dyDescent="0.25">
      <c r="A4097" s="3"/>
      <c r="F4097" s="19"/>
      <c r="G4097" s="19"/>
      <c r="N4097" s="19"/>
      <c r="P4097" s="19"/>
      <c r="AL4097" s="19"/>
    </row>
    <row r="4098" spans="1:38" s="11" customFormat="1" x14ac:dyDescent="0.25">
      <c r="A4098" s="3"/>
      <c r="F4098" s="19"/>
      <c r="G4098" s="19"/>
      <c r="N4098" s="19"/>
      <c r="P4098" s="19"/>
      <c r="AL4098" s="19"/>
    </row>
    <row r="4099" spans="1:38" s="11" customFormat="1" x14ac:dyDescent="0.25">
      <c r="A4099" s="3"/>
      <c r="F4099" s="19"/>
      <c r="G4099" s="19"/>
      <c r="N4099" s="19"/>
      <c r="P4099" s="19"/>
      <c r="AL4099" s="19"/>
    </row>
    <row r="4100" spans="1:38" s="11" customFormat="1" x14ac:dyDescent="0.25">
      <c r="A4100" s="3"/>
      <c r="F4100" s="19"/>
      <c r="G4100" s="19"/>
      <c r="N4100" s="19"/>
      <c r="P4100" s="19"/>
      <c r="AL4100" s="19"/>
    </row>
    <row r="4101" spans="1:38" s="11" customFormat="1" x14ac:dyDescent="0.25">
      <c r="A4101" s="3"/>
      <c r="F4101" s="19"/>
      <c r="G4101" s="19"/>
      <c r="N4101" s="19"/>
      <c r="P4101" s="19"/>
      <c r="AL4101" s="19"/>
    </row>
    <row r="4102" spans="1:38" s="11" customFormat="1" x14ac:dyDescent="0.25">
      <c r="A4102" s="3"/>
      <c r="F4102" s="19"/>
      <c r="G4102" s="19"/>
      <c r="N4102" s="19"/>
      <c r="P4102" s="19"/>
      <c r="AL4102" s="19"/>
    </row>
    <row r="4103" spans="1:38" s="11" customFormat="1" x14ac:dyDescent="0.25">
      <c r="A4103" s="3"/>
      <c r="F4103" s="19"/>
      <c r="G4103" s="19"/>
      <c r="N4103" s="19"/>
      <c r="P4103" s="19"/>
      <c r="AL4103" s="19"/>
    </row>
    <row r="4104" spans="1:38" s="11" customFormat="1" x14ac:dyDescent="0.25">
      <c r="A4104" s="3"/>
      <c r="F4104" s="19"/>
      <c r="G4104" s="19"/>
      <c r="N4104" s="19"/>
      <c r="P4104" s="19"/>
      <c r="AL4104" s="19"/>
    </row>
    <row r="4105" spans="1:38" s="11" customFormat="1" x14ac:dyDescent="0.25">
      <c r="A4105" s="3"/>
      <c r="F4105" s="19"/>
      <c r="G4105" s="19"/>
      <c r="N4105" s="19"/>
      <c r="P4105" s="19"/>
      <c r="AL4105" s="19"/>
    </row>
    <row r="4106" spans="1:38" s="11" customFormat="1" x14ac:dyDescent="0.25">
      <c r="A4106" s="3"/>
      <c r="F4106" s="19"/>
      <c r="G4106" s="19"/>
      <c r="N4106" s="19"/>
      <c r="P4106" s="19"/>
      <c r="AL4106" s="19"/>
    </row>
    <row r="4107" spans="1:38" s="11" customFormat="1" x14ac:dyDescent="0.25">
      <c r="A4107" s="3"/>
      <c r="F4107" s="19"/>
      <c r="G4107" s="19"/>
      <c r="N4107" s="19"/>
      <c r="P4107" s="19"/>
      <c r="AL4107" s="19"/>
    </row>
    <row r="4108" spans="1:38" s="11" customFormat="1" x14ac:dyDescent="0.25">
      <c r="A4108" s="3"/>
      <c r="F4108" s="19"/>
      <c r="G4108" s="19"/>
      <c r="N4108" s="19"/>
      <c r="P4108" s="19"/>
      <c r="AL4108" s="19"/>
    </row>
    <row r="4109" spans="1:38" s="11" customFormat="1" x14ac:dyDescent="0.25">
      <c r="A4109" s="3"/>
      <c r="F4109" s="19"/>
      <c r="G4109" s="19"/>
      <c r="N4109" s="19"/>
      <c r="P4109" s="19"/>
      <c r="AL4109" s="19"/>
    </row>
    <row r="4110" spans="1:38" s="11" customFormat="1" x14ac:dyDescent="0.25">
      <c r="A4110" s="3"/>
      <c r="F4110" s="19"/>
      <c r="G4110" s="19"/>
      <c r="N4110" s="19"/>
      <c r="P4110" s="19"/>
      <c r="AL4110" s="19"/>
    </row>
    <row r="4111" spans="1:38" s="11" customFormat="1" x14ac:dyDescent="0.25">
      <c r="A4111" s="3"/>
      <c r="F4111" s="19"/>
      <c r="G4111" s="19"/>
      <c r="N4111" s="19"/>
      <c r="P4111" s="19"/>
      <c r="AL4111" s="19"/>
    </row>
    <row r="4112" spans="1:38" s="11" customFormat="1" x14ac:dyDescent="0.25">
      <c r="A4112" s="3"/>
      <c r="F4112" s="19"/>
      <c r="G4112" s="19"/>
      <c r="N4112" s="19"/>
      <c r="P4112" s="19"/>
      <c r="AL4112" s="19"/>
    </row>
    <row r="4113" spans="1:38" s="11" customFormat="1" x14ac:dyDescent="0.25">
      <c r="A4113" s="3"/>
      <c r="F4113" s="19"/>
      <c r="G4113" s="19"/>
      <c r="N4113" s="19"/>
      <c r="P4113" s="19"/>
      <c r="AL4113" s="19"/>
    </row>
    <row r="4114" spans="1:38" s="11" customFormat="1" x14ac:dyDescent="0.25">
      <c r="A4114" s="3"/>
      <c r="F4114" s="19"/>
      <c r="G4114" s="19"/>
      <c r="N4114" s="19"/>
      <c r="P4114" s="19"/>
      <c r="AL4114" s="19"/>
    </row>
    <row r="4115" spans="1:38" s="11" customFormat="1" x14ac:dyDescent="0.25">
      <c r="A4115" s="3"/>
      <c r="F4115" s="19"/>
      <c r="G4115" s="19"/>
      <c r="N4115" s="19"/>
      <c r="P4115" s="19"/>
      <c r="AL4115" s="19"/>
    </row>
    <row r="4116" spans="1:38" s="11" customFormat="1" x14ac:dyDescent="0.25">
      <c r="A4116" s="3"/>
      <c r="F4116" s="19"/>
      <c r="G4116" s="19"/>
      <c r="N4116" s="19"/>
      <c r="P4116" s="19"/>
      <c r="AL4116" s="19"/>
    </row>
    <row r="4117" spans="1:38" s="11" customFormat="1" x14ac:dyDescent="0.25">
      <c r="A4117" s="3"/>
      <c r="F4117" s="19"/>
      <c r="G4117" s="19"/>
      <c r="N4117" s="19"/>
      <c r="P4117" s="19"/>
      <c r="AL4117" s="19"/>
    </row>
    <row r="4118" spans="1:38" s="11" customFormat="1" x14ac:dyDescent="0.25">
      <c r="A4118" s="3"/>
      <c r="F4118" s="19"/>
      <c r="G4118" s="19"/>
      <c r="N4118" s="19"/>
      <c r="P4118" s="19"/>
      <c r="AL4118" s="19"/>
    </row>
    <row r="4119" spans="1:38" s="11" customFormat="1" x14ac:dyDescent="0.25">
      <c r="A4119" s="3"/>
      <c r="F4119" s="19"/>
      <c r="G4119" s="19"/>
      <c r="N4119" s="19"/>
      <c r="P4119" s="19"/>
      <c r="AL4119" s="19"/>
    </row>
    <row r="4120" spans="1:38" s="11" customFormat="1" x14ac:dyDescent="0.25">
      <c r="A4120" s="3"/>
      <c r="F4120" s="19"/>
      <c r="G4120" s="19"/>
      <c r="N4120" s="19"/>
      <c r="P4120" s="19"/>
      <c r="AL4120" s="19"/>
    </row>
    <row r="4121" spans="1:38" s="11" customFormat="1" x14ac:dyDescent="0.25">
      <c r="A4121" s="3"/>
      <c r="F4121" s="19"/>
      <c r="G4121" s="19"/>
      <c r="N4121" s="19"/>
      <c r="P4121" s="19"/>
      <c r="AL4121" s="19"/>
    </row>
    <row r="4122" spans="1:38" s="11" customFormat="1" x14ac:dyDescent="0.25">
      <c r="A4122" s="3"/>
      <c r="F4122" s="19"/>
      <c r="G4122" s="19"/>
      <c r="N4122" s="19"/>
      <c r="P4122" s="19"/>
      <c r="AL4122" s="19"/>
    </row>
    <row r="4123" spans="1:38" s="11" customFormat="1" x14ac:dyDescent="0.25">
      <c r="A4123" s="3"/>
      <c r="F4123" s="19"/>
      <c r="G4123" s="19"/>
      <c r="N4123" s="19"/>
      <c r="P4123" s="19"/>
      <c r="AL4123" s="19"/>
    </row>
    <row r="4124" spans="1:38" s="11" customFormat="1" x14ac:dyDescent="0.25">
      <c r="A4124" s="3"/>
      <c r="F4124" s="19"/>
      <c r="G4124" s="19"/>
      <c r="N4124" s="19"/>
      <c r="P4124" s="19"/>
      <c r="AL4124" s="19"/>
    </row>
    <row r="4125" spans="1:38" s="11" customFormat="1" x14ac:dyDescent="0.25">
      <c r="A4125" s="3"/>
      <c r="F4125" s="19"/>
      <c r="G4125" s="19"/>
      <c r="N4125" s="19"/>
      <c r="P4125" s="19"/>
      <c r="AL4125" s="19"/>
    </row>
    <row r="4126" spans="1:38" s="11" customFormat="1" x14ac:dyDescent="0.25">
      <c r="A4126" s="3"/>
      <c r="F4126" s="19"/>
      <c r="G4126" s="19"/>
      <c r="N4126" s="19"/>
      <c r="P4126" s="19"/>
      <c r="AL4126" s="19"/>
    </row>
    <row r="4127" spans="1:38" s="11" customFormat="1" x14ac:dyDescent="0.25">
      <c r="A4127" s="3"/>
      <c r="F4127" s="19"/>
      <c r="G4127" s="19"/>
      <c r="N4127" s="19"/>
      <c r="P4127" s="19"/>
      <c r="AL4127" s="19"/>
    </row>
    <row r="4128" spans="1:38" s="11" customFormat="1" x14ac:dyDescent="0.25">
      <c r="A4128" s="3"/>
      <c r="F4128" s="19"/>
      <c r="G4128" s="19"/>
      <c r="N4128" s="19"/>
      <c r="P4128" s="19"/>
      <c r="AL4128" s="19"/>
    </row>
    <row r="4129" spans="1:38" s="11" customFormat="1" x14ac:dyDescent="0.25">
      <c r="A4129" s="3"/>
      <c r="F4129" s="19"/>
      <c r="G4129" s="19"/>
      <c r="N4129" s="19"/>
      <c r="P4129" s="19"/>
      <c r="AL4129" s="19"/>
    </row>
    <row r="4130" spans="1:38" s="11" customFormat="1" x14ac:dyDescent="0.25">
      <c r="A4130" s="3"/>
      <c r="F4130" s="19"/>
      <c r="G4130" s="19"/>
      <c r="N4130" s="19"/>
      <c r="P4130" s="19"/>
      <c r="AL4130" s="19"/>
    </row>
    <row r="4131" spans="1:38" s="11" customFormat="1" x14ac:dyDescent="0.25">
      <c r="A4131" s="3"/>
      <c r="F4131" s="19"/>
      <c r="G4131" s="19"/>
      <c r="N4131" s="19"/>
      <c r="P4131" s="19"/>
      <c r="AL4131" s="19"/>
    </row>
    <row r="4132" spans="1:38" s="11" customFormat="1" x14ac:dyDescent="0.25">
      <c r="A4132" s="3"/>
      <c r="F4132" s="19"/>
      <c r="G4132" s="19"/>
      <c r="N4132" s="19"/>
      <c r="P4132" s="19"/>
      <c r="AL4132" s="19"/>
    </row>
    <row r="4133" spans="1:38" s="11" customFormat="1" x14ac:dyDescent="0.25">
      <c r="A4133" s="3"/>
      <c r="F4133" s="19"/>
      <c r="G4133" s="19"/>
      <c r="N4133" s="19"/>
      <c r="P4133" s="19"/>
      <c r="AL4133" s="19"/>
    </row>
    <row r="4134" spans="1:38" s="11" customFormat="1" x14ac:dyDescent="0.25">
      <c r="A4134" s="3"/>
      <c r="F4134" s="19"/>
      <c r="G4134" s="19"/>
      <c r="N4134" s="19"/>
      <c r="P4134" s="19"/>
      <c r="AL4134" s="19"/>
    </row>
    <row r="4135" spans="1:38" s="11" customFormat="1" x14ac:dyDescent="0.25">
      <c r="A4135" s="3"/>
      <c r="F4135" s="19"/>
      <c r="G4135" s="19"/>
      <c r="N4135" s="19"/>
      <c r="P4135" s="19"/>
      <c r="AL4135" s="19"/>
    </row>
    <row r="4136" spans="1:38" s="11" customFormat="1" x14ac:dyDescent="0.25">
      <c r="A4136" s="3"/>
      <c r="F4136" s="19"/>
      <c r="G4136" s="19"/>
      <c r="N4136" s="19"/>
      <c r="P4136" s="19"/>
      <c r="AL4136" s="19"/>
    </row>
    <row r="4137" spans="1:38" s="11" customFormat="1" x14ac:dyDescent="0.25">
      <c r="A4137" s="3"/>
      <c r="F4137" s="19"/>
      <c r="G4137" s="19"/>
      <c r="N4137" s="19"/>
      <c r="P4137" s="19"/>
      <c r="AL4137" s="19"/>
    </row>
    <row r="4138" spans="1:38" s="11" customFormat="1" x14ac:dyDescent="0.25">
      <c r="A4138" s="3"/>
      <c r="F4138" s="19"/>
      <c r="G4138" s="19"/>
      <c r="N4138" s="19"/>
      <c r="P4138" s="19"/>
      <c r="AL4138" s="19"/>
    </row>
    <row r="4139" spans="1:38" s="11" customFormat="1" x14ac:dyDescent="0.25">
      <c r="A4139" s="3"/>
      <c r="F4139" s="19"/>
      <c r="G4139" s="19"/>
      <c r="N4139" s="19"/>
      <c r="P4139" s="19"/>
      <c r="AL4139" s="19"/>
    </row>
    <row r="4140" spans="1:38" s="11" customFormat="1" x14ac:dyDescent="0.25">
      <c r="A4140" s="3"/>
      <c r="F4140" s="19"/>
      <c r="G4140" s="19"/>
      <c r="N4140" s="19"/>
      <c r="P4140" s="19"/>
      <c r="AL4140" s="19"/>
    </row>
    <row r="4141" spans="1:38" s="11" customFormat="1" x14ac:dyDescent="0.25">
      <c r="A4141" s="3"/>
      <c r="F4141" s="19"/>
      <c r="G4141" s="19"/>
      <c r="N4141" s="19"/>
      <c r="P4141" s="19"/>
      <c r="AL4141" s="19"/>
    </row>
    <row r="4142" spans="1:38" s="11" customFormat="1" x14ac:dyDescent="0.25">
      <c r="A4142" s="3"/>
      <c r="F4142" s="19"/>
      <c r="G4142" s="19"/>
      <c r="N4142" s="19"/>
      <c r="P4142" s="19"/>
      <c r="AL4142" s="19"/>
    </row>
    <row r="4143" spans="1:38" s="11" customFormat="1" x14ac:dyDescent="0.25">
      <c r="A4143" s="3"/>
      <c r="F4143" s="19"/>
      <c r="G4143" s="19"/>
      <c r="N4143" s="19"/>
      <c r="P4143" s="19"/>
      <c r="AL4143" s="19"/>
    </row>
    <row r="4144" spans="1:38" s="11" customFormat="1" x14ac:dyDescent="0.25">
      <c r="A4144" s="3"/>
      <c r="F4144" s="19"/>
      <c r="G4144" s="19"/>
      <c r="N4144" s="19"/>
      <c r="P4144" s="19"/>
      <c r="AL4144" s="19"/>
    </row>
    <row r="4145" spans="1:38" s="11" customFormat="1" x14ac:dyDescent="0.25">
      <c r="A4145" s="3"/>
      <c r="F4145" s="19"/>
      <c r="G4145" s="19"/>
      <c r="N4145" s="19"/>
      <c r="P4145" s="19"/>
      <c r="AL4145" s="19"/>
    </row>
    <row r="4146" spans="1:38" s="11" customFormat="1" x14ac:dyDescent="0.25">
      <c r="A4146" s="3"/>
      <c r="F4146" s="19"/>
      <c r="G4146" s="19"/>
      <c r="N4146" s="19"/>
      <c r="P4146" s="19"/>
      <c r="AL4146" s="19"/>
    </row>
    <row r="4147" spans="1:38" s="11" customFormat="1" x14ac:dyDescent="0.25">
      <c r="A4147" s="3"/>
      <c r="F4147" s="19"/>
      <c r="G4147" s="19"/>
      <c r="N4147" s="19"/>
      <c r="P4147" s="19"/>
      <c r="AL4147" s="19"/>
    </row>
    <row r="4148" spans="1:38" s="11" customFormat="1" x14ac:dyDescent="0.25">
      <c r="A4148" s="3"/>
      <c r="F4148" s="19"/>
      <c r="G4148" s="19"/>
      <c r="N4148" s="19"/>
      <c r="P4148" s="19"/>
      <c r="AL4148" s="19"/>
    </row>
    <row r="4149" spans="1:38" s="11" customFormat="1" x14ac:dyDescent="0.25">
      <c r="A4149" s="3"/>
      <c r="F4149" s="19"/>
      <c r="G4149" s="19"/>
      <c r="N4149" s="19"/>
      <c r="P4149" s="19"/>
      <c r="AL4149" s="19"/>
    </row>
    <row r="4150" spans="1:38" s="11" customFormat="1" x14ac:dyDescent="0.25">
      <c r="A4150" s="3"/>
      <c r="F4150" s="19"/>
      <c r="G4150" s="19"/>
      <c r="N4150" s="19"/>
      <c r="P4150" s="19"/>
      <c r="AL4150" s="19"/>
    </row>
    <row r="4151" spans="1:38" s="11" customFormat="1" x14ac:dyDescent="0.25">
      <c r="A4151" s="3"/>
      <c r="F4151" s="19"/>
      <c r="G4151" s="19"/>
      <c r="N4151" s="19"/>
      <c r="P4151" s="19"/>
      <c r="AL4151" s="19"/>
    </row>
    <row r="4152" spans="1:38" s="11" customFormat="1" x14ac:dyDescent="0.25">
      <c r="A4152" s="3"/>
      <c r="F4152" s="19"/>
      <c r="G4152" s="19"/>
      <c r="N4152" s="19"/>
      <c r="P4152" s="19"/>
      <c r="AL4152" s="19"/>
    </row>
    <row r="4153" spans="1:38" s="11" customFormat="1" x14ac:dyDescent="0.25">
      <c r="A4153" s="3"/>
      <c r="F4153" s="19"/>
      <c r="G4153" s="19"/>
      <c r="N4153" s="19"/>
      <c r="P4153" s="19"/>
      <c r="AL4153" s="19"/>
    </row>
    <row r="4154" spans="1:38" s="11" customFormat="1" x14ac:dyDescent="0.25">
      <c r="A4154" s="3"/>
      <c r="F4154" s="19"/>
      <c r="G4154" s="19"/>
      <c r="N4154" s="19"/>
      <c r="P4154" s="19"/>
      <c r="AL4154" s="19"/>
    </row>
    <row r="4155" spans="1:38" s="11" customFormat="1" x14ac:dyDescent="0.25">
      <c r="A4155" s="3"/>
      <c r="F4155" s="19"/>
      <c r="G4155" s="19"/>
      <c r="N4155" s="19"/>
      <c r="P4155" s="19"/>
      <c r="AL4155" s="19"/>
    </row>
    <row r="4156" spans="1:38" s="11" customFormat="1" x14ac:dyDescent="0.25">
      <c r="A4156" s="3"/>
      <c r="F4156" s="19"/>
      <c r="G4156" s="19"/>
      <c r="N4156" s="19"/>
      <c r="P4156" s="19"/>
      <c r="AL4156" s="19"/>
    </row>
    <row r="4157" spans="1:38" s="11" customFormat="1" x14ac:dyDescent="0.25">
      <c r="A4157" s="3"/>
      <c r="F4157" s="19"/>
      <c r="G4157" s="19"/>
      <c r="N4157" s="19"/>
      <c r="P4157" s="19"/>
      <c r="AL4157" s="19"/>
    </row>
    <row r="4158" spans="1:38" s="11" customFormat="1" x14ac:dyDescent="0.25">
      <c r="A4158" s="3"/>
      <c r="F4158" s="19"/>
      <c r="G4158" s="19"/>
      <c r="N4158" s="19"/>
      <c r="P4158" s="19"/>
      <c r="AL4158" s="19"/>
    </row>
    <row r="4159" spans="1:38" s="11" customFormat="1" x14ac:dyDescent="0.25">
      <c r="A4159" s="3"/>
      <c r="F4159" s="19"/>
      <c r="G4159" s="19"/>
      <c r="N4159" s="19"/>
      <c r="P4159" s="19"/>
      <c r="AL4159" s="19"/>
    </row>
    <row r="4160" spans="1:38" s="11" customFormat="1" x14ac:dyDescent="0.25">
      <c r="A4160" s="3"/>
      <c r="F4160" s="19"/>
      <c r="G4160" s="19"/>
      <c r="N4160" s="19"/>
      <c r="P4160" s="19"/>
      <c r="AL4160" s="19"/>
    </row>
    <row r="4161" spans="1:38" s="11" customFormat="1" x14ac:dyDescent="0.25">
      <c r="A4161" s="3"/>
      <c r="F4161" s="19"/>
      <c r="G4161" s="19"/>
      <c r="N4161" s="19"/>
      <c r="P4161" s="19"/>
      <c r="AL4161" s="19"/>
    </row>
    <row r="4162" spans="1:38" s="11" customFormat="1" x14ac:dyDescent="0.25">
      <c r="A4162" s="3"/>
      <c r="F4162" s="19"/>
      <c r="G4162" s="19"/>
      <c r="N4162" s="19"/>
      <c r="P4162" s="19"/>
      <c r="AL4162" s="19"/>
    </row>
    <row r="4163" spans="1:38" s="11" customFormat="1" x14ac:dyDescent="0.25">
      <c r="A4163" s="3"/>
      <c r="F4163" s="19"/>
      <c r="G4163" s="19"/>
      <c r="N4163" s="19"/>
      <c r="P4163" s="19"/>
      <c r="AL4163" s="19"/>
    </row>
    <row r="4164" spans="1:38" s="11" customFormat="1" x14ac:dyDescent="0.25">
      <c r="A4164" s="3"/>
      <c r="F4164" s="19"/>
      <c r="G4164" s="19"/>
      <c r="N4164" s="19"/>
      <c r="P4164" s="19"/>
      <c r="AL4164" s="19"/>
    </row>
    <row r="4165" spans="1:38" s="11" customFormat="1" x14ac:dyDescent="0.25">
      <c r="A4165" s="3"/>
      <c r="F4165" s="19"/>
      <c r="G4165" s="19"/>
      <c r="N4165" s="19"/>
      <c r="P4165" s="19"/>
      <c r="AL4165" s="19"/>
    </row>
    <row r="4166" spans="1:38" s="11" customFormat="1" x14ac:dyDescent="0.25">
      <c r="A4166" s="3"/>
      <c r="F4166" s="19"/>
      <c r="G4166" s="19"/>
      <c r="N4166" s="19"/>
      <c r="P4166" s="19"/>
      <c r="AL4166" s="19"/>
    </row>
    <row r="4167" spans="1:38" s="11" customFormat="1" x14ac:dyDescent="0.25">
      <c r="A4167" s="3"/>
      <c r="F4167" s="19"/>
      <c r="G4167" s="19"/>
      <c r="N4167" s="19"/>
      <c r="P4167" s="19"/>
      <c r="AL4167" s="19"/>
    </row>
    <row r="4168" spans="1:38" s="11" customFormat="1" x14ac:dyDescent="0.25">
      <c r="A4168" s="3"/>
      <c r="F4168" s="19"/>
      <c r="G4168" s="19"/>
      <c r="N4168" s="19"/>
      <c r="P4168" s="19"/>
      <c r="AL4168" s="19"/>
    </row>
    <row r="4169" spans="1:38" s="11" customFormat="1" x14ac:dyDescent="0.25">
      <c r="A4169" s="3"/>
      <c r="F4169" s="19"/>
      <c r="G4169" s="19"/>
      <c r="N4169" s="19"/>
      <c r="P4169" s="19"/>
      <c r="AL4169" s="19"/>
    </row>
    <row r="4170" spans="1:38" s="11" customFormat="1" x14ac:dyDescent="0.25">
      <c r="A4170" s="3"/>
      <c r="F4170" s="19"/>
      <c r="G4170" s="19"/>
      <c r="N4170" s="19"/>
      <c r="P4170" s="19"/>
      <c r="AL4170" s="19"/>
    </row>
    <row r="4171" spans="1:38" s="11" customFormat="1" x14ac:dyDescent="0.25">
      <c r="A4171" s="3"/>
      <c r="F4171" s="19"/>
      <c r="G4171" s="19"/>
      <c r="N4171" s="19"/>
      <c r="P4171" s="19"/>
      <c r="AL4171" s="19"/>
    </row>
    <row r="4172" spans="1:38" s="11" customFormat="1" x14ac:dyDescent="0.25">
      <c r="A4172" s="3"/>
      <c r="F4172" s="19"/>
      <c r="G4172" s="19"/>
      <c r="N4172" s="19"/>
      <c r="P4172" s="19"/>
      <c r="AL4172" s="19"/>
    </row>
    <row r="4173" spans="1:38" s="11" customFormat="1" x14ac:dyDescent="0.25">
      <c r="A4173" s="3"/>
      <c r="F4173" s="19"/>
      <c r="G4173" s="19"/>
      <c r="N4173" s="19"/>
      <c r="P4173" s="19"/>
      <c r="AL4173" s="19"/>
    </row>
    <row r="4174" spans="1:38" s="11" customFormat="1" x14ac:dyDescent="0.25">
      <c r="A4174" s="3"/>
      <c r="F4174" s="19"/>
      <c r="G4174" s="19"/>
      <c r="N4174" s="19"/>
      <c r="P4174" s="19"/>
      <c r="AL4174" s="19"/>
    </row>
    <row r="4175" spans="1:38" s="11" customFormat="1" x14ac:dyDescent="0.25">
      <c r="A4175" s="3"/>
      <c r="F4175" s="19"/>
      <c r="G4175" s="19"/>
      <c r="N4175" s="19"/>
      <c r="P4175" s="19"/>
      <c r="AL4175" s="19"/>
    </row>
    <row r="4176" spans="1:38" s="11" customFormat="1" x14ac:dyDescent="0.25">
      <c r="A4176" s="3"/>
      <c r="F4176" s="19"/>
      <c r="G4176" s="19"/>
      <c r="N4176" s="19"/>
      <c r="P4176" s="19"/>
      <c r="AL4176" s="19"/>
    </row>
    <row r="4177" spans="1:38" s="11" customFormat="1" x14ac:dyDescent="0.25">
      <c r="A4177" s="3"/>
      <c r="F4177" s="19"/>
      <c r="G4177" s="19"/>
      <c r="N4177" s="19"/>
      <c r="P4177" s="19"/>
      <c r="AL4177" s="19"/>
    </row>
    <row r="4178" spans="1:38" s="11" customFormat="1" x14ac:dyDescent="0.25">
      <c r="A4178" s="3"/>
      <c r="F4178" s="19"/>
      <c r="G4178" s="19"/>
      <c r="N4178" s="19"/>
      <c r="P4178" s="19"/>
      <c r="AL4178" s="19"/>
    </row>
    <row r="4179" spans="1:38" s="11" customFormat="1" x14ac:dyDescent="0.25">
      <c r="A4179" s="3"/>
      <c r="F4179" s="19"/>
      <c r="G4179" s="19"/>
      <c r="N4179" s="19"/>
      <c r="P4179" s="19"/>
      <c r="AL4179" s="19"/>
    </row>
    <row r="4180" spans="1:38" s="11" customFormat="1" x14ac:dyDescent="0.25">
      <c r="A4180" s="3"/>
      <c r="F4180" s="19"/>
      <c r="G4180" s="19"/>
      <c r="N4180" s="19"/>
      <c r="P4180" s="19"/>
      <c r="AL4180" s="19"/>
    </row>
    <row r="4181" spans="1:38" s="11" customFormat="1" x14ac:dyDescent="0.25">
      <c r="A4181" s="3"/>
      <c r="F4181" s="19"/>
      <c r="G4181" s="19"/>
      <c r="N4181" s="19"/>
      <c r="P4181" s="19"/>
      <c r="AL4181" s="19"/>
    </row>
    <row r="4182" spans="1:38" s="11" customFormat="1" x14ac:dyDescent="0.25">
      <c r="A4182" s="3"/>
      <c r="F4182" s="19"/>
      <c r="G4182" s="19"/>
      <c r="N4182" s="19"/>
      <c r="P4182" s="19"/>
      <c r="AL4182" s="19"/>
    </row>
    <row r="4183" spans="1:38" s="11" customFormat="1" x14ac:dyDescent="0.25">
      <c r="A4183" s="3"/>
      <c r="F4183" s="19"/>
      <c r="G4183" s="19"/>
      <c r="N4183" s="19"/>
      <c r="P4183" s="19"/>
      <c r="AL4183" s="19"/>
    </row>
    <row r="4184" spans="1:38" s="11" customFormat="1" x14ac:dyDescent="0.25">
      <c r="A4184" s="3"/>
      <c r="F4184" s="19"/>
      <c r="G4184" s="19"/>
      <c r="N4184" s="19"/>
      <c r="P4184" s="19"/>
      <c r="AL4184" s="19"/>
    </row>
    <row r="4185" spans="1:38" s="11" customFormat="1" x14ac:dyDescent="0.25">
      <c r="A4185" s="3"/>
      <c r="F4185" s="19"/>
      <c r="G4185" s="19"/>
      <c r="N4185" s="19"/>
      <c r="P4185" s="19"/>
      <c r="AL4185" s="19"/>
    </row>
    <row r="4186" spans="1:38" s="11" customFormat="1" x14ac:dyDescent="0.25">
      <c r="A4186" s="3"/>
      <c r="F4186" s="19"/>
      <c r="G4186" s="19"/>
      <c r="N4186" s="19"/>
      <c r="P4186" s="19"/>
      <c r="AL4186" s="19"/>
    </row>
    <row r="4187" spans="1:38" s="11" customFormat="1" x14ac:dyDescent="0.25">
      <c r="A4187" s="3"/>
      <c r="F4187" s="19"/>
      <c r="G4187" s="19"/>
      <c r="N4187" s="19"/>
      <c r="P4187" s="19"/>
      <c r="AL4187" s="19"/>
    </row>
    <row r="4188" spans="1:38" s="11" customFormat="1" x14ac:dyDescent="0.25">
      <c r="A4188" s="3"/>
      <c r="F4188" s="19"/>
      <c r="G4188" s="19"/>
      <c r="N4188" s="19"/>
      <c r="P4188" s="19"/>
      <c r="AL4188" s="19"/>
    </row>
    <row r="4189" spans="1:38" s="11" customFormat="1" x14ac:dyDescent="0.25">
      <c r="A4189" s="3"/>
      <c r="F4189" s="19"/>
      <c r="G4189" s="19"/>
      <c r="N4189" s="19"/>
      <c r="P4189" s="19"/>
      <c r="AL4189" s="19"/>
    </row>
    <row r="4190" spans="1:38" s="11" customFormat="1" x14ac:dyDescent="0.25">
      <c r="A4190" s="3"/>
      <c r="F4190" s="19"/>
      <c r="G4190" s="19"/>
      <c r="N4190" s="19"/>
      <c r="P4190" s="19"/>
      <c r="AL4190" s="19"/>
    </row>
    <row r="4191" spans="1:38" s="11" customFormat="1" x14ac:dyDescent="0.25">
      <c r="A4191" s="3"/>
      <c r="F4191" s="19"/>
      <c r="G4191" s="19"/>
      <c r="N4191" s="19"/>
      <c r="P4191" s="19"/>
      <c r="AL4191" s="19"/>
    </row>
    <row r="4192" spans="1:38" s="11" customFormat="1" x14ac:dyDescent="0.25">
      <c r="A4192" s="3"/>
      <c r="F4192" s="19"/>
      <c r="G4192" s="19"/>
      <c r="N4192" s="19"/>
      <c r="P4192" s="19"/>
      <c r="AL4192" s="19"/>
    </row>
    <row r="4193" spans="1:38" s="11" customFormat="1" x14ac:dyDescent="0.25">
      <c r="A4193" s="3"/>
      <c r="F4193" s="19"/>
      <c r="G4193" s="19"/>
      <c r="N4193" s="19"/>
      <c r="P4193" s="19"/>
      <c r="AL4193" s="19"/>
    </row>
    <row r="4194" spans="1:38" s="11" customFormat="1" x14ac:dyDescent="0.25">
      <c r="A4194" s="3"/>
      <c r="F4194" s="19"/>
      <c r="G4194" s="19"/>
      <c r="N4194" s="19"/>
      <c r="P4194" s="19"/>
      <c r="AL4194" s="19"/>
    </row>
    <row r="4195" spans="1:38" s="11" customFormat="1" x14ac:dyDescent="0.25">
      <c r="A4195" s="3"/>
      <c r="F4195" s="19"/>
      <c r="G4195" s="19"/>
      <c r="N4195" s="19"/>
      <c r="P4195" s="19"/>
      <c r="AL4195" s="19"/>
    </row>
    <row r="4196" spans="1:38" s="11" customFormat="1" x14ac:dyDescent="0.25">
      <c r="A4196" s="3"/>
      <c r="F4196" s="19"/>
      <c r="G4196" s="19"/>
      <c r="N4196" s="19"/>
      <c r="P4196" s="19"/>
      <c r="AL4196" s="19"/>
    </row>
    <row r="4197" spans="1:38" s="11" customFormat="1" x14ac:dyDescent="0.25">
      <c r="A4197" s="3"/>
      <c r="F4197" s="19"/>
      <c r="G4197" s="19"/>
      <c r="N4197" s="19"/>
      <c r="P4197" s="19"/>
      <c r="AL4197" s="19"/>
    </row>
    <row r="4198" spans="1:38" s="11" customFormat="1" x14ac:dyDescent="0.25">
      <c r="A4198" s="3"/>
      <c r="F4198" s="19"/>
      <c r="G4198" s="19"/>
      <c r="N4198" s="19"/>
      <c r="P4198" s="19"/>
      <c r="AL4198" s="19"/>
    </row>
    <row r="4199" spans="1:38" s="11" customFormat="1" x14ac:dyDescent="0.25">
      <c r="A4199" s="3"/>
      <c r="F4199" s="19"/>
      <c r="G4199" s="19"/>
      <c r="N4199" s="19"/>
      <c r="P4199" s="19"/>
      <c r="AL4199" s="19"/>
    </row>
    <row r="4200" spans="1:38" s="11" customFormat="1" x14ac:dyDescent="0.25">
      <c r="A4200" s="3"/>
      <c r="F4200" s="19"/>
      <c r="G4200" s="19"/>
      <c r="N4200" s="19"/>
      <c r="P4200" s="19"/>
      <c r="AL4200" s="19"/>
    </row>
    <row r="4201" spans="1:38" s="11" customFormat="1" x14ac:dyDescent="0.25">
      <c r="A4201" s="3"/>
      <c r="F4201" s="19"/>
      <c r="G4201" s="19"/>
      <c r="N4201" s="19"/>
      <c r="P4201" s="19"/>
      <c r="AL4201" s="19"/>
    </row>
    <row r="4202" spans="1:38" s="11" customFormat="1" x14ac:dyDescent="0.25">
      <c r="A4202" s="3"/>
      <c r="F4202" s="19"/>
      <c r="G4202" s="19"/>
      <c r="N4202" s="19"/>
      <c r="P4202" s="19"/>
      <c r="AL4202" s="19"/>
    </row>
    <row r="4203" spans="1:38" s="11" customFormat="1" x14ac:dyDescent="0.25">
      <c r="A4203" s="3"/>
      <c r="F4203" s="19"/>
      <c r="G4203" s="19"/>
      <c r="N4203" s="19"/>
      <c r="P4203" s="19"/>
      <c r="AL4203" s="19"/>
    </row>
    <row r="4204" spans="1:38" s="11" customFormat="1" x14ac:dyDescent="0.25">
      <c r="A4204" s="3"/>
      <c r="F4204" s="19"/>
      <c r="G4204" s="19"/>
      <c r="N4204" s="19"/>
      <c r="P4204" s="19"/>
      <c r="AL4204" s="19"/>
    </row>
    <row r="4205" spans="1:38" s="11" customFormat="1" x14ac:dyDescent="0.25">
      <c r="A4205" s="3"/>
      <c r="F4205" s="19"/>
      <c r="G4205" s="19"/>
      <c r="N4205" s="19"/>
      <c r="P4205" s="19"/>
      <c r="AL4205" s="19"/>
    </row>
    <row r="4206" spans="1:38" s="11" customFormat="1" x14ac:dyDescent="0.25">
      <c r="A4206" s="3"/>
      <c r="F4206" s="19"/>
      <c r="G4206" s="19"/>
      <c r="N4206" s="19"/>
      <c r="P4206" s="19"/>
      <c r="AL4206" s="19"/>
    </row>
    <row r="4207" spans="1:38" s="11" customFormat="1" x14ac:dyDescent="0.25">
      <c r="A4207" s="3"/>
      <c r="F4207" s="19"/>
      <c r="G4207" s="19"/>
      <c r="N4207" s="19"/>
      <c r="P4207" s="19"/>
      <c r="AL4207" s="19"/>
    </row>
    <row r="4208" spans="1:38" s="11" customFormat="1" x14ac:dyDescent="0.25">
      <c r="A4208" s="3"/>
      <c r="F4208" s="19"/>
      <c r="G4208" s="19"/>
      <c r="N4208" s="19"/>
      <c r="P4208" s="19"/>
      <c r="AL4208" s="19"/>
    </row>
    <row r="4209" spans="1:38" s="11" customFormat="1" x14ac:dyDescent="0.25">
      <c r="A4209" s="3"/>
      <c r="F4209" s="19"/>
      <c r="G4209" s="19"/>
      <c r="N4209" s="19"/>
      <c r="P4209" s="19"/>
      <c r="AL4209" s="19"/>
    </row>
    <row r="4210" spans="1:38" s="11" customFormat="1" x14ac:dyDescent="0.25">
      <c r="A4210" s="3"/>
      <c r="F4210" s="19"/>
      <c r="G4210" s="19"/>
      <c r="N4210" s="19"/>
      <c r="P4210" s="19"/>
      <c r="AL4210" s="19"/>
    </row>
    <row r="4211" spans="1:38" s="11" customFormat="1" x14ac:dyDescent="0.25">
      <c r="A4211" s="3"/>
      <c r="F4211" s="19"/>
      <c r="G4211" s="19"/>
      <c r="N4211" s="19"/>
      <c r="P4211" s="19"/>
      <c r="AL4211" s="19"/>
    </row>
    <row r="4212" spans="1:38" s="11" customFormat="1" x14ac:dyDescent="0.25">
      <c r="A4212" s="3"/>
      <c r="F4212" s="19"/>
      <c r="G4212" s="19"/>
      <c r="N4212" s="19"/>
      <c r="P4212" s="19"/>
      <c r="AL4212" s="19"/>
    </row>
    <row r="4213" spans="1:38" s="11" customFormat="1" x14ac:dyDescent="0.25">
      <c r="A4213" s="3"/>
      <c r="F4213" s="19"/>
      <c r="G4213" s="19"/>
      <c r="N4213" s="19"/>
      <c r="P4213" s="19"/>
      <c r="AL4213" s="19"/>
    </row>
    <row r="4214" spans="1:38" s="11" customFormat="1" x14ac:dyDescent="0.25">
      <c r="A4214" s="3"/>
      <c r="F4214" s="19"/>
      <c r="G4214" s="19"/>
      <c r="N4214" s="19"/>
      <c r="P4214" s="19"/>
      <c r="AL4214" s="19"/>
    </row>
    <row r="4215" spans="1:38" s="11" customFormat="1" x14ac:dyDescent="0.25">
      <c r="A4215" s="3"/>
      <c r="F4215" s="19"/>
      <c r="G4215" s="19"/>
      <c r="N4215" s="19"/>
      <c r="P4215" s="19"/>
      <c r="AL4215" s="19"/>
    </row>
    <row r="4216" spans="1:38" s="11" customFormat="1" x14ac:dyDescent="0.25">
      <c r="A4216" s="3"/>
      <c r="F4216" s="19"/>
      <c r="G4216" s="19"/>
      <c r="N4216" s="19"/>
      <c r="P4216" s="19"/>
      <c r="AL4216" s="19"/>
    </row>
    <row r="4217" spans="1:38" s="11" customFormat="1" x14ac:dyDescent="0.25">
      <c r="A4217" s="3"/>
      <c r="F4217" s="19"/>
      <c r="G4217" s="19"/>
      <c r="N4217" s="19"/>
      <c r="P4217" s="19"/>
      <c r="AL4217" s="19"/>
    </row>
    <row r="4218" spans="1:38" s="11" customFormat="1" x14ac:dyDescent="0.25">
      <c r="A4218" s="3"/>
      <c r="F4218" s="19"/>
      <c r="G4218" s="19"/>
      <c r="N4218" s="19"/>
      <c r="P4218" s="19"/>
      <c r="AL4218" s="19"/>
    </row>
    <row r="4219" spans="1:38" s="11" customFormat="1" x14ac:dyDescent="0.25">
      <c r="A4219" s="3"/>
      <c r="F4219" s="19"/>
      <c r="G4219" s="19"/>
      <c r="N4219" s="19"/>
      <c r="P4219" s="19"/>
      <c r="AL4219" s="19"/>
    </row>
    <row r="4220" spans="1:38" s="11" customFormat="1" x14ac:dyDescent="0.25">
      <c r="A4220" s="3"/>
      <c r="F4220" s="19"/>
      <c r="G4220" s="19"/>
      <c r="N4220" s="19"/>
      <c r="P4220" s="19"/>
      <c r="AL4220" s="19"/>
    </row>
    <row r="4221" spans="1:38" s="11" customFormat="1" x14ac:dyDescent="0.25">
      <c r="A4221" s="3"/>
      <c r="F4221" s="19"/>
      <c r="G4221" s="19"/>
      <c r="N4221" s="19"/>
      <c r="P4221" s="19"/>
      <c r="AL4221" s="19"/>
    </row>
    <row r="4222" spans="1:38" s="11" customFormat="1" x14ac:dyDescent="0.25">
      <c r="A4222" s="3"/>
      <c r="F4222" s="19"/>
      <c r="G4222" s="19"/>
      <c r="N4222" s="19"/>
      <c r="P4222" s="19"/>
      <c r="AL4222" s="19"/>
    </row>
    <row r="4223" spans="1:38" s="11" customFormat="1" x14ac:dyDescent="0.25">
      <c r="A4223" s="3"/>
      <c r="F4223" s="19"/>
      <c r="G4223" s="19"/>
      <c r="N4223" s="19"/>
      <c r="P4223" s="19"/>
      <c r="AL4223" s="19"/>
    </row>
    <row r="4224" spans="1:38" s="11" customFormat="1" x14ac:dyDescent="0.25">
      <c r="A4224" s="3"/>
      <c r="F4224" s="19"/>
      <c r="G4224" s="19"/>
      <c r="N4224" s="19"/>
      <c r="P4224" s="19"/>
      <c r="AL4224" s="19"/>
    </row>
    <row r="4225" spans="1:38" s="11" customFormat="1" x14ac:dyDescent="0.25">
      <c r="A4225" s="3"/>
      <c r="F4225" s="19"/>
      <c r="G4225" s="19"/>
      <c r="N4225" s="19"/>
      <c r="P4225" s="19"/>
      <c r="AL4225" s="19"/>
    </row>
    <row r="4226" spans="1:38" s="11" customFormat="1" x14ac:dyDescent="0.25">
      <c r="A4226" s="3"/>
      <c r="F4226" s="19"/>
      <c r="G4226" s="19"/>
      <c r="N4226" s="19"/>
      <c r="P4226" s="19"/>
      <c r="AL4226" s="19"/>
    </row>
    <row r="4227" spans="1:38" s="11" customFormat="1" x14ac:dyDescent="0.25">
      <c r="A4227" s="3"/>
      <c r="F4227" s="19"/>
      <c r="G4227" s="19"/>
      <c r="N4227" s="19"/>
      <c r="P4227" s="19"/>
      <c r="AL4227" s="19"/>
    </row>
    <row r="4228" spans="1:38" s="11" customFormat="1" x14ac:dyDescent="0.25">
      <c r="A4228" s="3"/>
      <c r="F4228" s="19"/>
      <c r="G4228" s="19"/>
      <c r="N4228" s="19"/>
      <c r="P4228" s="19"/>
      <c r="AL4228" s="19"/>
    </row>
    <row r="4229" spans="1:38" s="11" customFormat="1" x14ac:dyDescent="0.25">
      <c r="A4229" s="3"/>
      <c r="F4229" s="19"/>
      <c r="G4229" s="19"/>
      <c r="N4229" s="19"/>
      <c r="P4229" s="19"/>
      <c r="AL4229" s="19"/>
    </row>
    <row r="4230" spans="1:38" s="11" customFormat="1" x14ac:dyDescent="0.25">
      <c r="A4230" s="3"/>
      <c r="F4230" s="19"/>
      <c r="G4230" s="19"/>
      <c r="N4230" s="19"/>
      <c r="P4230" s="19"/>
      <c r="AL4230" s="19"/>
    </row>
    <row r="4231" spans="1:38" s="11" customFormat="1" x14ac:dyDescent="0.25">
      <c r="A4231" s="3"/>
      <c r="F4231" s="19"/>
      <c r="G4231" s="19"/>
      <c r="N4231" s="19"/>
      <c r="P4231" s="19"/>
      <c r="AL4231" s="19"/>
    </row>
    <row r="4232" spans="1:38" s="11" customFormat="1" x14ac:dyDescent="0.25">
      <c r="A4232" s="3"/>
      <c r="F4232" s="19"/>
      <c r="G4232" s="19"/>
      <c r="N4232" s="19"/>
      <c r="P4232" s="19"/>
      <c r="AL4232" s="19"/>
    </row>
    <row r="4233" spans="1:38" s="11" customFormat="1" x14ac:dyDescent="0.25">
      <c r="A4233" s="3"/>
      <c r="F4233" s="19"/>
      <c r="G4233" s="19"/>
      <c r="N4233" s="19"/>
      <c r="P4233" s="19"/>
      <c r="AL4233" s="19"/>
    </row>
    <row r="4234" spans="1:38" s="11" customFormat="1" x14ac:dyDescent="0.25">
      <c r="A4234" s="3"/>
      <c r="F4234" s="19"/>
      <c r="G4234" s="19"/>
      <c r="N4234" s="19"/>
      <c r="P4234" s="19"/>
      <c r="AL4234" s="19"/>
    </row>
    <row r="4235" spans="1:38" s="11" customFormat="1" x14ac:dyDescent="0.25">
      <c r="A4235" s="3"/>
      <c r="F4235" s="19"/>
      <c r="G4235" s="19"/>
      <c r="N4235" s="19"/>
      <c r="P4235" s="19"/>
      <c r="AL4235" s="19"/>
    </row>
    <row r="4236" spans="1:38" s="11" customFormat="1" x14ac:dyDescent="0.25">
      <c r="A4236" s="3"/>
      <c r="F4236" s="19"/>
      <c r="G4236" s="19"/>
      <c r="N4236" s="19"/>
      <c r="P4236" s="19"/>
      <c r="AL4236" s="19"/>
    </row>
    <row r="4237" spans="1:38" s="11" customFormat="1" x14ac:dyDescent="0.25">
      <c r="A4237" s="3"/>
      <c r="F4237" s="19"/>
      <c r="G4237" s="19"/>
      <c r="N4237" s="19"/>
      <c r="P4237" s="19"/>
      <c r="AL4237" s="19"/>
    </row>
    <row r="4238" spans="1:38" s="11" customFormat="1" x14ac:dyDescent="0.25">
      <c r="A4238" s="3"/>
      <c r="F4238" s="19"/>
      <c r="G4238" s="19"/>
      <c r="N4238" s="19"/>
      <c r="P4238" s="19"/>
      <c r="AL4238" s="19"/>
    </row>
    <row r="4239" spans="1:38" s="11" customFormat="1" x14ac:dyDescent="0.25">
      <c r="A4239" s="3"/>
      <c r="F4239" s="19"/>
      <c r="G4239" s="19"/>
      <c r="N4239" s="19"/>
      <c r="P4239" s="19"/>
      <c r="AL4239" s="19"/>
    </row>
    <row r="4240" spans="1:38" s="11" customFormat="1" x14ac:dyDescent="0.25">
      <c r="A4240" s="3"/>
      <c r="F4240" s="19"/>
      <c r="G4240" s="19"/>
      <c r="N4240" s="19"/>
      <c r="P4240" s="19"/>
      <c r="AL4240" s="19"/>
    </row>
    <row r="4241" spans="1:38" s="11" customFormat="1" x14ac:dyDescent="0.25">
      <c r="A4241" s="3"/>
      <c r="F4241" s="19"/>
      <c r="G4241" s="19"/>
      <c r="N4241" s="19"/>
      <c r="P4241" s="19"/>
      <c r="AL4241" s="19"/>
    </row>
    <row r="4242" spans="1:38" s="11" customFormat="1" x14ac:dyDescent="0.25">
      <c r="A4242" s="3"/>
      <c r="F4242" s="19"/>
      <c r="G4242" s="19"/>
      <c r="N4242" s="19"/>
      <c r="P4242" s="19"/>
      <c r="AL4242" s="19"/>
    </row>
    <row r="4243" spans="1:38" s="11" customFormat="1" x14ac:dyDescent="0.25">
      <c r="A4243" s="3"/>
      <c r="F4243" s="19"/>
      <c r="G4243" s="19"/>
      <c r="N4243" s="19"/>
      <c r="P4243" s="19"/>
      <c r="AL4243" s="19"/>
    </row>
    <row r="4244" spans="1:38" s="11" customFormat="1" x14ac:dyDescent="0.25">
      <c r="A4244" s="3"/>
      <c r="F4244" s="19"/>
      <c r="G4244" s="19"/>
      <c r="N4244" s="19"/>
      <c r="P4244" s="19"/>
      <c r="AL4244" s="19"/>
    </row>
    <row r="4245" spans="1:38" s="11" customFormat="1" x14ac:dyDescent="0.25">
      <c r="A4245" s="3"/>
      <c r="F4245" s="19"/>
      <c r="G4245" s="19"/>
      <c r="N4245" s="19"/>
      <c r="P4245" s="19"/>
      <c r="AL4245" s="19"/>
    </row>
    <row r="4246" spans="1:38" s="11" customFormat="1" x14ac:dyDescent="0.25">
      <c r="A4246" s="3"/>
      <c r="F4246" s="19"/>
      <c r="G4246" s="19"/>
      <c r="N4246" s="19"/>
      <c r="P4246" s="19"/>
      <c r="AL4246" s="19"/>
    </row>
    <row r="4247" spans="1:38" s="11" customFormat="1" x14ac:dyDescent="0.25">
      <c r="A4247" s="3"/>
      <c r="F4247" s="19"/>
      <c r="G4247" s="19"/>
      <c r="N4247" s="19"/>
      <c r="P4247" s="19"/>
      <c r="AL4247" s="19"/>
    </row>
    <row r="4248" spans="1:38" s="11" customFormat="1" x14ac:dyDescent="0.25">
      <c r="A4248" s="3"/>
      <c r="F4248" s="19"/>
      <c r="G4248" s="19"/>
      <c r="N4248" s="19"/>
      <c r="P4248" s="19"/>
      <c r="AL4248" s="19"/>
    </row>
    <row r="4249" spans="1:38" s="11" customFormat="1" x14ac:dyDescent="0.25">
      <c r="A4249" s="3"/>
      <c r="F4249" s="19"/>
      <c r="G4249" s="19"/>
      <c r="N4249" s="19"/>
      <c r="P4249" s="19"/>
      <c r="AL4249" s="19"/>
    </row>
    <row r="4250" spans="1:38" s="11" customFormat="1" x14ac:dyDescent="0.25">
      <c r="A4250" s="3"/>
      <c r="F4250" s="19"/>
      <c r="G4250" s="19"/>
      <c r="N4250" s="19"/>
      <c r="P4250" s="19"/>
      <c r="AL4250" s="19"/>
    </row>
    <row r="4251" spans="1:38" s="11" customFormat="1" x14ac:dyDescent="0.25">
      <c r="A4251" s="3"/>
      <c r="F4251" s="19"/>
      <c r="G4251" s="19"/>
      <c r="N4251" s="19"/>
      <c r="P4251" s="19"/>
      <c r="AL4251" s="19"/>
    </row>
    <row r="4252" spans="1:38" s="11" customFormat="1" x14ac:dyDescent="0.25">
      <c r="A4252" s="3"/>
      <c r="F4252" s="19"/>
      <c r="G4252" s="19"/>
      <c r="N4252" s="19"/>
      <c r="P4252" s="19"/>
      <c r="AL4252" s="19"/>
    </row>
    <row r="4253" spans="1:38" s="11" customFormat="1" x14ac:dyDescent="0.25">
      <c r="A4253" s="3"/>
      <c r="F4253" s="19"/>
      <c r="G4253" s="19"/>
      <c r="N4253" s="19"/>
      <c r="P4253" s="19"/>
      <c r="AL4253" s="19"/>
    </row>
    <row r="4254" spans="1:38" s="11" customFormat="1" x14ac:dyDescent="0.25">
      <c r="A4254" s="3"/>
      <c r="F4254" s="19"/>
      <c r="G4254" s="19"/>
      <c r="N4254" s="19"/>
      <c r="P4254" s="19"/>
      <c r="AL4254" s="19"/>
    </row>
    <row r="4255" spans="1:38" s="11" customFormat="1" x14ac:dyDescent="0.25">
      <c r="A4255" s="3"/>
      <c r="F4255" s="19"/>
      <c r="G4255" s="19"/>
      <c r="N4255" s="19"/>
      <c r="P4255" s="19"/>
      <c r="AL4255" s="19"/>
    </row>
    <row r="4256" spans="1:38" s="11" customFormat="1" x14ac:dyDescent="0.25">
      <c r="A4256" s="3"/>
      <c r="F4256" s="19"/>
      <c r="G4256" s="19"/>
      <c r="N4256" s="19"/>
      <c r="P4256" s="19"/>
      <c r="AL4256" s="19"/>
    </row>
    <row r="4257" spans="1:38" s="11" customFormat="1" x14ac:dyDescent="0.25">
      <c r="A4257" s="3"/>
      <c r="F4257" s="19"/>
      <c r="G4257" s="19"/>
      <c r="N4257" s="19"/>
      <c r="P4257" s="19"/>
      <c r="AL4257" s="19"/>
    </row>
    <row r="4258" spans="1:38" s="11" customFormat="1" x14ac:dyDescent="0.25">
      <c r="A4258" s="3"/>
      <c r="F4258" s="19"/>
      <c r="G4258" s="19"/>
      <c r="N4258" s="19"/>
      <c r="P4258" s="19"/>
      <c r="AL4258" s="19"/>
    </row>
    <row r="4259" spans="1:38" s="11" customFormat="1" x14ac:dyDescent="0.25">
      <c r="A4259" s="3"/>
      <c r="F4259" s="19"/>
      <c r="G4259" s="19"/>
      <c r="N4259" s="19"/>
      <c r="P4259" s="19"/>
      <c r="AL4259" s="19"/>
    </row>
    <row r="4260" spans="1:38" s="11" customFormat="1" x14ac:dyDescent="0.25">
      <c r="A4260" s="3"/>
      <c r="F4260" s="19"/>
      <c r="G4260" s="19"/>
      <c r="N4260" s="19"/>
      <c r="P4260" s="19"/>
      <c r="AL4260" s="19"/>
    </row>
    <row r="4261" spans="1:38" s="11" customFormat="1" x14ac:dyDescent="0.25">
      <c r="A4261" s="3"/>
      <c r="F4261" s="19"/>
      <c r="G4261" s="19"/>
      <c r="N4261" s="19"/>
      <c r="P4261" s="19"/>
      <c r="AL4261" s="19"/>
    </row>
    <row r="4262" spans="1:38" s="11" customFormat="1" x14ac:dyDescent="0.25">
      <c r="A4262" s="3"/>
      <c r="F4262" s="19"/>
      <c r="G4262" s="19"/>
      <c r="N4262" s="19"/>
      <c r="P4262" s="19"/>
      <c r="AL4262" s="19"/>
    </row>
    <row r="4263" spans="1:38" s="11" customFormat="1" x14ac:dyDescent="0.25">
      <c r="A4263" s="3"/>
      <c r="F4263" s="19"/>
      <c r="G4263" s="19"/>
      <c r="N4263" s="19"/>
      <c r="P4263" s="19"/>
      <c r="AL4263" s="19"/>
    </row>
    <row r="4264" spans="1:38" s="11" customFormat="1" x14ac:dyDescent="0.25">
      <c r="A4264" s="3"/>
      <c r="F4264" s="19"/>
      <c r="G4264" s="19"/>
      <c r="N4264" s="19"/>
      <c r="P4264" s="19"/>
      <c r="AL4264" s="19"/>
    </row>
    <row r="4265" spans="1:38" s="11" customFormat="1" x14ac:dyDescent="0.25">
      <c r="A4265" s="3"/>
      <c r="F4265" s="19"/>
      <c r="G4265" s="19"/>
      <c r="N4265" s="19"/>
      <c r="P4265" s="19"/>
      <c r="AL4265" s="19"/>
    </row>
    <row r="4266" spans="1:38" s="11" customFormat="1" x14ac:dyDescent="0.25">
      <c r="A4266" s="3"/>
      <c r="F4266" s="19"/>
      <c r="G4266" s="19"/>
      <c r="N4266" s="19"/>
      <c r="P4266" s="19"/>
      <c r="AL4266" s="19"/>
    </row>
    <row r="4267" spans="1:38" s="11" customFormat="1" x14ac:dyDescent="0.25">
      <c r="A4267" s="3"/>
      <c r="F4267" s="19"/>
      <c r="G4267" s="19"/>
      <c r="N4267" s="19"/>
      <c r="P4267" s="19"/>
      <c r="AL4267" s="19"/>
    </row>
    <row r="4268" spans="1:38" s="11" customFormat="1" x14ac:dyDescent="0.25">
      <c r="A4268" s="3"/>
      <c r="F4268" s="19"/>
      <c r="G4268" s="19"/>
      <c r="N4268" s="19"/>
      <c r="P4268" s="19"/>
      <c r="AL4268" s="19"/>
    </row>
    <row r="4269" spans="1:38" s="11" customFormat="1" x14ac:dyDescent="0.25">
      <c r="A4269" s="3"/>
      <c r="F4269" s="19"/>
      <c r="G4269" s="19"/>
      <c r="N4269" s="19"/>
      <c r="P4269" s="19"/>
      <c r="AL4269" s="19"/>
    </row>
    <row r="4270" spans="1:38" s="11" customFormat="1" x14ac:dyDescent="0.25">
      <c r="A4270" s="3"/>
      <c r="F4270" s="19"/>
      <c r="G4270" s="19"/>
      <c r="N4270" s="19"/>
      <c r="P4270" s="19"/>
      <c r="AL4270" s="19"/>
    </row>
    <row r="4271" spans="1:38" s="11" customFormat="1" x14ac:dyDescent="0.25">
      <c r="A4271" s="3"/>
      <c r="F4271" s="19"/>
      <c r="G4271" s="19"/>
      <c r="N4271" s="19"/>
      <c r="P4271" s="19"/>
      <c r="AL4271" s="19"/>
    </row>
    <row r="4272" spans="1:38" s="11" customFormat="1" x14ac:dyDescent="0.25">
      <c r="A4272" s="3"/>
      <c r="F4272" s="19"/>
      <c r="G4272" s="19"/>
      <c r="N4272" s="19"/>
      <c r="P4272" s="19"/>
      <c r="AL4272" s="19"/>
    </row>
    <row r="4273" spans="1:38" s="11" customFormat="1" x14ac:dyDescent="0.25">
      <c r="A4273" s="3"/>
      <c r="F4273" s="19"/>
      <c r="G4273" s="19"/>
      <c r="N4273" s="19"/>
      <c r="P4273" s="19"/>
      <c r="AL4273" s="19"/>
    </row>
    <row r="4274" spans="1:38" s="11" customFormat="1" x14ac:dyDescent="0.25">
      <c r="A4274" s="3"/>
      <c r="F4274" s="19"/>
      <c r="G4274" s="19"/>
      <c r="N4274" s="19"/>
      <c r="P4274" s="19"/>
      <c r="AL4274" s="19"/>
    </row>
    <row r="4275" spans="1:38" s="11" customFormat="1" x14ac:dyDescent="0.25">
      <c r="A4275" s="3"/>
      <c r="F4275" s="19"/>
      <c r="G4275" s="19"/>
      <c r="N4275" s="19"/>
      <c r="P4275" s="19"/>
      <c r="AL4275" s="19"/>
    </row>
    <row r="4276" spans="1:38" s="11" customFormat="1" x14ac:dyDescent="0.25">
      <c r="A4276" s="3"/>
      <c r="F4276" s="19"/>
      <c r="G4276" s="19"/>
      <c r="N4276" s="19"/>
      <c r="P4276" s="19"/>
      <c r="AL4276" s="19"/>
    </row>
    <row r="4277" spans="1:38" s="11" customFormat="1" x14ac:dyDescent="0.25">
      <c r="A4277" s="3"/>
      <c r="F4277" s="19"/>
      <c r="G4277" s="19"/>
      <c r="N4277" s="19"/>
      <c r="P4277" s="19"/>
      <c r="AL4277" s="19"/>
    </row>
    <row r="4278" spans="1:38" s="11" customFormat="1" x14ac:dyDescent="0.25">
      <c r="A4278" s="3"/>
      <c r="F4278" s="19"/>
      <c r="G4278" s="19"/>
      <c r="N4278" s="19"/>
      <c r="P4278" s="19"/>
      <c r="AL4278" s="19"/>
    </row>
    <row r="4279" spans="1:38" s="11" customFormat="1" x14ac:dyDescent="0.25">
      <c r="A4279" s="3"/>
      <c r="F4279" s="19"/>
      <c r="G4279" s="19"/>
      <c r="N4279" s="19"/>
      <c r="P4279" s="19"/>
      <c r="AL4279" s="19"/>
    </row>
    <row r="4280" spans="1:38" s="11" customFormat="1" x14ac:dyDescent="0.25">
      <c r="A4280" s="3"/>
      <c r="F4280" s="19"/>
      <c r="G4280" s="19"/>
      <c r="N4280" s="19"/>
      <c r="P4280" s="19"/>
      <c r="AL4280" s="19"/>
    </row>
    <row r="4281" spans="1:38" s="11" customFormat="1" x14ac:dyDescent="0.25">
      <c r="A4281" s="3"/>
      <c r="F4281" s="19"/>
      <c r="G4281" s="19"/>
      <c r="N4281" s="19"/>
      <c r="P4281" s="19"/>
      <c r="AL4281" s="19"/>
    </row>
    <row r="4282" spans="1:38" s="11" customFormat="1" x14ac:dyDescent="0.25">
      <c r="A4282" s="3"/>
      <c r="F4282" s="19"/>
      <c r="G4282" s="19"/>
      <c r="N4282" s="19"/>
      <c r="P4282" s="19"/>
      <c r="AL4282" s="19"/>
    </row>
    <row r="4283" spans="1:38" s="11" customFormat="1" x14ac:dyDescent="0.25">
      <c r="A4283" s="3"/>
      <c r="F4283" s="19"/>
      <c r="G4283" s="19"/>
      <c r="N4283" s="19"/>
      <c r="P4283" s="19"/>
      <c r="AL4283" s="19"/>
    </row>
    <row r="4284" spans="1:38" s="11" customFormat="1" x14ac:dyDescent="0.25">
      <c r="A4284" s="3"/>
      <c r="F4284" s="19"/>
      <c r="G4284" s="19"/>
      <c r="N4284" s="19"/>
      <c r="P4284" s="19"/>
      <c r="AL4284" s="19"/>
    </row>
    <row r="4285" spans="1:38" s="11" customFormat="1" x14ac:dyDescent="0.25">
      <c r="A4285" s="3"/>
      <c r="F4285" s="19"/>
      <c r="G4285" s="19"/>
      <c r="N4285" s="19"/>
      <c r="P4285" s="19"/>
      <c r="AL4285" s="19"/>
    </row>
    <row r="4286" spans="1:38" s="11" customFormat="1" x14ac:dyDescent="0.25">
      <c r="A4286" s="3"/>
      <c r="F4286" s="19"/>
      <c r="G4286" s="19"/>
      <c r="N4286" s="19"/>
      <c r="P4286" s="19"/>
      <c r="AL4286" s="19"/>
    </row>
    <row r="4287" spans="1:38" s="11" customFormat="1" x14ac:dyDescent="0.25">
      <c r="A4287" s="3"/>
      <c r="F4287" s="19"/>
      <c r="G4287" s="19"/>
      <c r="N4287" s="19"/>
      <c r="P4287" s="19"/>
      <c r="AL4287" s="19"/>
    </row>
    <row r="4288" spans="1:38" s="11" customFormat="1" x14ac:dyDescent="0.25">
      <c r="A4288" s="3"/>
      <c r="F4288" s="19"/>
      <c r="G4288" s="19"/>
      <c r="N4288" s="19"/>
      <c r="P4288" s="19"/>
      <c r="AL4288" s="19"/>
    </row>
    <row r="4289" spans="1:38" s="11" customFormat="1" x14ac:dyDescent="0.25">
      <c r="A4289" s="3"/>
      <c r="F4289" s="19"/>
      <c r="G4289" s="19"/>
      <c r="N4289" s="19"/>
      <c r="P4289" s="19"/>
      <c r="AL4289" s="19"/>
    </row>
    <row r="4290" spans="1:38" s="11" customFormat="1" x14ac:dyDescent="0.25">
      <c r="A4290" s="3"/>
      <c r="F4290" s="19"/>
      <c r="G4290" s="19"/>
      <c r="N4290" s="19"/>
      <c r="P4290" s="19"/>
      <c r="AL4290" s="19"/>
    </row>
    <row r="4291" spans="1:38" s="11" customFormat="1" x14ac:dyDescent="0.25">
      <c r="A4291" s="3"/>
      <c r="F4291" s="19"/>
      <c r="G4291" s="19"/>
      <c r="N4291" s="19"/>
      <c r="P4291" s="19"/>
      <c r="AL4291" s="19"/>
    </row>
    <row r="4292" spans="1:38" s="11" customFormat="1" x14ac:dyDescent="0.25">
      <c r="A4292" s="3"/>
      <c r="F4292" s="19"/>
      <c r="G4292" s="19"/>
      <c r="N4292" s="19"/>
      <c r="P4292" s="19"/>
      <c r="AL4292" s="19"/>
    </row>
    <row r="4293" spans="1:38" s="11" customFormat="1" x14ac:dyDescent="0.25">
      <c r="A4293" s="3"/>
      <c r="F4293" s="19"/>
      <c r="G4293" s="19"/>
      <c r="N4293" s="19"/>
      <c r="P4293" s="19"/>
      <c r="AL4293" s="19"/>
    </row>
    <row r="4294" spans="1:38" s="11" customFormat="1" x14ac:dyDescent="0.25">
      <c r="A4294" s="3"/>
      <c r="F4294" s="19"/>
      <c r="G4294" s="19"/>
      <c r="N4294" s="19"/>
      <c r="P4294" s="19"/>
      <c r="AL4294" s="19"/>
    </row>
    <row r="4295" spans="1:38" s="11" customFormat="1" x14ac:dyDescent="0.25">
      <c r="A4295" s="3"/>
      <c r="F4295" s="19"/>
      <c r="G4295" s="19"/>
      <c r="N4295" s="19"/>
      <c r="P4295" s="19"/>
      <c r="AL4295" s="19"/>
    </row>
    <row r="4296" spans="1:38" s="11" customFormat="1" x14ac:dyDescent="0.25">
      <c r="A4296" s="3"/>
      <c r="F4296" s="19"/>
      <c r="G4296" s="19"/>
      <c r="N4296" s="19"/>
      <c r="P4296" s="19"/>
      <c r="AL4296" s="19"/>
    </row>
    <row r="4297" spans="1:38" s="11" customFormat="1" x14ac:dyDescent="0.25">
      <c r="A4297" s="3"/>
      <c r="F4297" s="19"/>
      <c r="G4297" s="19"/>
      <c r="N4297" s="19"/>
      <c r="P4297" s="19"/>
      <c r="AL4297" s="19"/>
    </row>
    <row r="4298" spans="1:38" s="11" customFormat="1" x14ac:dyDescent="0.25">
      <c r="A4298" s="3"/>
      <c r="F4298" s="19"/>
      <c r="G4298" s="19"/>
      <c r="N4298" s="19"/>
      <c r="P4298" s="19"/>
      <c r="AL4298" s="19"/>
    </row>
    <row r="4299" spans="1:38" s="11" customFormat="1" x14ac:dyDescent="0.25">
      <c r="A4299" s="3"/>
      <c r="F4299" s="19"/>
      <c r="G4299" s="19"/>
      <c r="N4299" s="19"/>
      <c r="P4299" s="19"/>
      <c r="AL4299" s="19"/>
    </row>
    <row r="4300" spans="1:38" s="11" customFormat="1" x14ac:dyDescent="0.25">
      <c r="A4300" s="3"/>
      <c r="F4300" s="19"/>
      <c r="G4300" s="19"/>
      <c r="N4300" s="19"/>
      <c r="P4300" s="19"/>
      <c r="AL4300" s="19"/>
    </row>
    <row r="4301" spans="1:38" s="11" customFormat="1" x14ac:dyDescent="0.25">
      <c r="A4301" s="3"/>
      <c r="F4301" s="19"/>
      <c r="G4301" s="19"/>
      <c r="N4301" s="19"/>
      <c r="P4301" s="19"/>
      <c r="AL4301" s="19"/>
    </row>
    <row r="4302" spans="1:38" s="11" customFormat="1" x14ac:dyDescent="0.25">
      <c r="A4302" s="3"/>
      <c r="F4302" s="19"/>
      <c r="G4302" s="19"/>
      <c r="N4302" s="19"/>
      <c r="P4302" s="19"/>
      <c r="AL4302" s="19"/>
    </row>
    <row r="4303" spans="1:38" s="11" customFormat="1" x14ac:dyDescent="0.25">
      <c r="A4303" s="3"/>
      <c r="F4303" s="19"/>
      <c r="G4303" s="19"/>
      <c r="N4303" s="19"/>
      <c r="P4303" s="19"/>
      <c r="AL4303" s="19"/>
    </row>
    <row r="4304" spans="1:38" s="11" customFormat="1" x14ac:dyDescent="0.25">
      <c r="A4304" s="3"/>
      <c r="F4304" s="19"/>
      <c r="G4304" s="19"/>
      <c r="N4304" s="19"/>
      <c r="P4304" s="19"/>
      <c r="AL4304" s="19"/>
    </row>
    <row r="4305" spans="1:38" s="11" customFormat="1" x14ac:dyDescent="0.25">
      <c r="A4305" s="3"/>
      <c r="F4305" s="19"/>
      <c r="G4305" s="19"/>
      <c r="N4305" s="19"/>
      <c r="P4305" s="19"/>
      <c r="AL4305" s="19"/>
    </row>
    <row r="4306" spans="1:38" s="11" customFormat="1" x14ac:dyDescent="0.25">
      <c r="A4306" s="3"/>
      <c r="F4306" s="19"/>
      <c r="G4306" s="19"/>
      <c r="N4306" s="19"/>
      <c r="P4306" s="19"/>
      <c r="AL4306" s="19"/>
    </row>
    <row r="4307" spans="1:38" s="11" customFormat="1" x14ac:dyDescent="0.25">
      <c r="A4307" s="3"/>
      <c r="F4307" s="19"/>
      <c r="G4307" s="19"/>
      <c r="N4307" s="19"/>
      <c r="P4307" s="19"/>
      <c r="AL4307" s="19"/>
    </row>
    <row r="4308" spans="1:38" s="11" customFormat="1" x14ac:dyDescent="0.25">
      <c r="A4308" s="3"/>
      <c r="F4308" s="19"/>
      <c r="G4308" s="19"/>
      <c r="N4308" s="19"/>
      <c r="P4308" s="19"/>
      <c r="AL4308" s="19"/>
    </row>
    <row r="4309" spans="1:38" s="11" customFormat="1" x14ac:dyDescent="0.25">
      <c r="A4309" s="3"/>
      <c r="F4309" s="19"/>
      <c r="G4309" s="19"/>
      <c r="N4309" s="19"/>
      <c r="P4309" s="19"/>
      <c r="AL4309" s="19"/>
    </row>
    <row r="4310" spans="1:38" s="11" customFormat="1" x14ac:dyDescent="0.25">
      <c r="A4310" s="3"/>
      <c r="F4310" s="19"/>
      <c r="G4310" s="19"/>
      <c r="N4310" s="19"/>
      <c r="P4310" s="19"/>
      <c r="AL4310" s="19"/>
    </row>
    <row r="4311" spans="1:38" s="11" customFormat="1" x14ac:dyDescent="0.25">
      <c r="A4311" s="3"/>
      <c r="F4311" s="19"/>
      <c r="G4311" s="19"/>
      <c r="N4311" s="19"/>
      <c r="P4311" s="19"/>
      <c r="AL4311" s="19"/>
    </row>
    <row r="4312" spans="1:38" s="11" customFormat="1" x14ac:dyDescent="0.25">
      <c r="A4312" s="3"/>
      <c r="F4312" s="19"/>
      <c r="G4312" s="19"/>
      <c r="N4312" s="19"/>
      <c r="P4312" s="19"/>
      <c r="AL4312" s="19"/>
    </row>
    <row r="4313" spans="1:38" s="11" customFormat="1" x14ac:dyDescent="0.25">
      <c r="A4313" s="3"/>
      <c r="F4313" s="19"/>
      <c r="G4313" s="19"/>
      <c r="N4313" s="19"/>
      <c r="P4313" s="19"/>
      <c r="AL4313" s="19"/>
    </row>
    <row r="4314" spans="1:38" s="11" customFormat="1" x14ac:dyDescent="0.25">
      <c r="A4314" s="3"/>
      <c r="F4314" s="19"/>
      <c r="G4314" s="19"/>
      <c r="N4314" s="19"/>
      <c r="P4314" s="19"/>
      <c r="AL4314" s="19"/>
    </row>
    <row r="4315" spans="1:38" s="11" customFormat="1" x14ac:dyDescent="0.25">
      <c r="A4315" s="3"/>
      <c r="F4315" s="19"/>
      <c r="G4315" s="19"/>
      <c r="N4315" s="19"/>
      <c r="P4315" s="19"/>
      <c r="AL4315" s="19"/>
    </row>
    <row r="4316" spans="1:38" s="11" customFormat="1" x14ac:dyDescent="0.25">
      <c r="A4316" s="3"/>
      <c r="F4316" s="19"/>
      <c r="G4316" s="19"/>
      <c r="N4316" s="19"/>
      <c r="P4316" s="19"/>
      <c r="AL4316" s="19"/>
    </row>
    <row r="4317" spans="1:38" s="11" customFormat="1" x14ac:dyDescent="0.25">
      <c r="A4317" s="3"/>
      <c r="F4317" s="19"/>
      <c r="G4317" s="19"/>
      <c r="N4317" s="19"/>
      <c r="P4317" s="19"/>
      <c r="AL4317" s="19"/>
    </row>
    <row r="4318" spans="1:38" s="11" customFormat="1" x14ac:dyDescent="0.25">
      <c r="A4318" s="3"/>
      <c r="F4318" s="19"/>
      <c r="G4318" s="19"/>
      <c r="N4318" s="19"/>
      <c r="P4318" s="19"/>
      <c r="AL4318" s="19"/>
    </row>
    <row r="4319" spans="1:38" s="11" customFormat="1" x14ac:dyDescent="0.25">
      <c r="A4319" s="3"/>
      <c r="F4319" s="19"/>
      <c r="G4319" s="19"/>
      <c r="N4319" s="19"/>
      <c r="P4319" s="19"/>
      <c r="AL4319" s="19"/>
    </row>
    <row r="4320" spans="1:38" s="11" customFormat="1" x14ac:dyDescent="0.25">
      <c r="A4320" s="3"/>
      <c r="F4320" s="19"/>
      <c r="G4320" s="19"/>
      <c r="N4320" s="19"/>
      <c r="P4320" s="19"/>
      <c r="AL4320" s="19"/>
    </row>
    <row r="4321" spans="1:38" s="11" customFormat="1" x14ac:dyDescent="0.25">
      <c r="A4321" s="3"/>
      <c r="F4321" s="19"/>
      <c r="G4321" s="19"/>
      <c r="N4321" s="19"/>
      <c r="P4321" s="19"/>
      <c r="AL4321" s="19"/>
    </row>
    <row r="4322" spans="1:38" s="11" customFormat="1" x14ac:dyDescent="0.25">
      <c r="A4322" s="3"/>
      <c r="F4322" s="19"/>
      <c r="G4322" s="19"/>
      <c r="N4322" s="19"/>
      <c r="P4322" s="19"/>
      <c r="AL4322" s="19"/>
    </row>
    <row r="4323" spans="1:38" s="11" customFormat="1" x14ac:dyDescent="0.25">
      <c r="A4323" s="3"/>
      <c r="F4323" s="19"/>
      <c r="G4323" s="19"/>
      <c r="N4323" s="19"/>
      <c r="P4323" s="19"/>
      <c r="AL4323" s="19"/>
    </row>
    <row r="4324" spans="1:38" s="11" customFormat="1" x14ac:dyDescent="0.25">
      <c r="A4324" s="3"/>
      <c r="F4324" s="19"/>
      <c r="G4324" s="19"/>
      <c r="N4324" s="19"/>
      <c r="P4324" s="19"/>
      <c r="AL4324" s="19"/>
    </row>
    <row r="4325" spans="1:38" s="11" customFormat="1" x14ac:dyDescent="0.25">
      <c r="A4325" s="3"/>
      <c r="F4325" s="19"/>
      <c r="G4325" s="19"/>
      <c r="N4325" s="19"/>
      <c r="P4325" s="19"/>
      <c r="AL4325" s="19"/>
    </row>
    <row r="4326" spans="1:38" s="11" customFormat="1" x14ac:dyDescent="0.25">
      <c r="A4326" s="3"/>
      <c r="F4326" s="19"/>
      <c r="G4326" s="19"/>
      <c r="N4326" s="19"/>
      <c r="P4326" s="19"/>
      <c r="AL4326" s="19"/>
    </row>
    <row r="4327" spans="1:38" s="11" customFormat="1" x14ac:dyDescent="0.25">
      <c r="A4327" s="3"/>
      <c r="F4327" s="19"/>
      <c r="G4327" s="19"/>
      <c r="N4327" s="19"/>
      <c r="P4327" s="19"/>
      <c r="AL4327" s="19"/>
    </row>
    <row r="4328" spans="1:38" s="11" customFormat="1" x14ac:dyDescent="0.25">
      <c r="A4328" s="3"/>
      <c r="F4328" s="19"/>
      <c r="G4328" s="19"/>
      <c r="N4328" s="19"/>
      <c r="P4328" s="19"/>
      <c r="AL4328" s="19"/>
    </row>
    <row r="4329" spans="1:38" s="11" customFormat="1" x14ac:dyDescent="0.25">
      <c r="A4329" s="3"/>
      <c r="F4329" s="19"/>
      <c r="G4329" s="19"/>
      <c r="N4329" s="19"/>
      <c r="P4329" s="19"/>
      <c r="AL4329" s="19"/>
    </row>
    <row r="4330" spans="1:38" s="11" customFormat="1" x14ac:dyDescent="0.25">
      <c r="A4330" s="3"/>
      <c r="F4330" s="19"/>
      <c r="G4330" s="19"/>
      <c r="N4330" s="19"/>
      <c r="P4330" s="19"/>
      <c r="AL4330" s="19"/>
    </row>
    <row r="4331" spans="1:38" s="11" customFormat="1" x14ac:dyDescent="0.25">
      <c r="A4331" s="3"/>
      <c r="F4331" s="19"/>
      <c r="G4331" s="19"/>
      <c r="N4331" s="19"/>
      <c r="P4331" s="19"/>
      <c r="AL4331" s="19"/>
    </row>
    <row r="4332" spans="1:38" s="11" customFormat="1" x14ac:dyDescent="0.25">
      <c r="A4332" s="3"/>
      <c r="F4332" s="19"/>
      <c r="G4332" s="19"/>
      <c r="N4332" s="19"/>
      <c r="P4332" s="19"/>
      <c r="AL4332" s="19"/>
    </row>
    <row r="4333" spans="1:38" s="11" customFormat="1" x14ac:dyDescent="0.25">
      <c r="A4333" s="3"/>
      <c r="F4333" s="19"/>
      <c r="G4333" s="19"/>
      <c r="N4333" s="19"/>
      <c r="P4333" s="19"/>
      <c r="AL4333" s="19"/>
    </row>
    <row r="4334" spans="1:38" s="11" customFormat="1" x14ac:dyDescent="0.25">
      <c r="A4334" s="3"/>
      <c r="F4334" s="19"/>
      <c r="G4334" s="19"/>
      <c r="N4334" s="19"/>
      <c r="P4334" s="19"/>
      <c r="AL4334" s="19"/>
    </row>
    <row r="4335" spans="1:38" s="11" customFormat="1" x14ac:dyDescent="0.25">
      <c r="A4335" s="3"/>
      <c r="F4335" s="19"/>
      <c r="G4335" s="19"/>
      <c r="N4335" s="19"/>
      <c r="P4335" s="19"/>
      <c r="AL4335" s="19"/>
    </row>
    <row r="4336" spans="1:38" s="11" customFormat="1" x14ac:dyDescent="0.25">
      <c r="A4336" s="3"/>
      <c r="F4336" s="19"/>
      <c r="G4336" s="19"/>
      <c r="N4336" s="19"/>
      <c r="P4336" s="19"/>
      <c r="AL4336" s="19"/>
    </row>
    <row r="4337" spans="1:38" s="11" customFormat="1" x14ac:dyDescent="0.25">
      <c r="A4337" s="3"/>
      <c r="F4337" s="19"/>
      <c r="G4337" s="19"/>
      <c r="N4337" s="19"/>
      <c r="P4337" s="19"/>
      <c r="AL4337" s="19"/>
    </row>
    <row r="4338" spans="1:38" s="11" customFormat="1" x14ac:dyDescent="0.25">
      <c r="A4338" s="3"/>
      <c r="F4338" s="19"/>
      <c r="G4338" s="19"/>
      <c r="N4338" s="19"/>
      <c r="P4338" s="19"/>
      <c r="AL4338" s="19"/>
    </row>
    <row r="4339" spans="1:38" s="11" customFormat="1" x14ac:dyDescent="0.25">
      <c r="A4339" s="3"/>
      <c r="F4339" s="19"/>
      <c r="G4339" s="19"/>
      <c r="N4339" s="19"/>
      <c r="P4339" s="19"/>
      <c r="AL4339" s="19"/>
    </row>
    <row r="4340" spans="1:38" s="11" customFormat="1" x14ac:dyDescent="0.25">
      <c r="A4340" s="3"/>
      <c r="F4340" s="19"/>
      <c r="G4340" s="19"/>
      <c r="N4340" s="19"/>
      <c r="P4340" s="19"/>
      <c r="AL4340" s="19"/>
    </row>
    <row r="4341" spans="1:38" s="11" customFormat="1" x14ac:dyDescent="0.25">
      <c r="A4341" s="3"/>
      <c r="F4341" s="19"/>
      <c r="G4341" s="19"/>
      <c r="N4341" s="19"/>
      <c r="P4341" s="19"/>
      <c r="AL4341" s="19"/>
    </row>
    <row r="4342" spans="1:38" s="11" customFormat="1" x14ac:dyDescent="0.25">
      <c r="A4342" s="3"/>
      <c r="F4342" s="19"/>
      <c r="G4342" s="19"/>
      <c r="N4342" s="19"/>
      <c r="P4342" s="19"/>
      <c r="AL4342" s="19"/>
    </row>
    <row r="4343" spans="1:38" s="11" customFormat="1" x14ac:dyDescent="0.25">
      <c r="A4343" s="3"/>
      <c r="F4343" s="19"/>
      <c r="G4343" s="19"/>
      <c r="N4343" s="19"/>
      <c r="P4343" s="19"/>
      <c r="AL4343" s="19"/>
    </row>
    <row r="4344" spans="1:38" s="11" customFormat="1" x14ac:dyDescent="0.25">
      <c r="A4344" s="3"/>
      <c r="F4344" s="19"/>
      <c r="G4344" s="19"/>
      <c r="N4344" s="19"/>
      <c r="P4344" s="19"/>
      <c r="AL4344" s="19"/>
    </row>
    <row r="4345" spans="1:38" s="11" customFormat="1" x14ac:dyDescent="0.25">
      <c r="A4345" s="3"/>
      <c r="F4345" s="19"/>
      <c r="G4345" s="19"/>
      <c r="N4345" s="19"/>
      <c r="P4345" s="19"/>
      <c r="AL4345" s="19"/>
    </row>
    <row r="4346" spans="1:38" s="11" customFormat="1" x14ac:dyDescent="0.25">
      <c r="A4346" s="3"/>
      <c r="F4346" s="19"/>
      <c r="G4346" s="19"/>
      <c r="N4346" s="19"/>
      <c r="P4346" s="19"/>
      <c r="AL4346" s="19"/>
    </row>
    <row r="4347" spans="1:38" s="11" customFormat="1" x14ac:dyDescent="0.25">
      <c r="A4347" s="3"/>
      <c r="F4347" s="19"/>
      <c r="G4347" s="19"/>
      <c r="N4347" s="19"/>
      <c r="P4347" s="19"/>
      <c r="AL4347" s="19"/>
    </row>
    <row r="4348" spans="1:38" s="11" customFormat="1" x14ac:dyDescent="0.25">
      <c r="A4348" s="3"/>
      <c r="F4348" s="19"/>
      <c r="G4348" s="19"/>
      <c r="N4348" s="19"/>
      <c r="P4348" s="19"/>
      <c r="AL4348" s="19"/>
    </row>
    <row r="4349" spans="1:38" s="11" customFormat="1" x14ac:dyDescent="0.25">
      <c r="A4349" s="3"/>
      <c r="F4349" s="19"/>
      <c r="G4349" s="19"/>
      <c r="N4349" s="19"/>
      <c r="P4349" s="19"/>
      <c r="AL4349" s="19"/>
    </row>
    <row r="4350" spans="1:38" s="11" customFormat="1" x14ac:dyDescent="0.25">
      <c r="A4350" s="3"/>
      <c r="F4350" s="19"/>
      <c r="G4350" s="19"/>
      <c r="N4350" s="19"/>
      <c r="P4350" s="19"/>
      <c r="AL4350" s="19"/>
    </row>
    <row r="4351" spans="1:38" s="11" customFormat="1" x14ac:dyDescent="0.25">
      <c r="A4351" s="3"/>
      <c r="F4351" s="19"/>
      <c r="G4351" s="19"/>
      <c r="N4351" s="19"/>
      <c r="P4351" s="19"/>
      <c r="AL4351" s="19"/>
    </row>
    <row r="4352" spans="1:38" s="11" customFormat="1" x14ac:dyDescent="0.25">
      <c r="A4352" s="3"/>
      <c r="F4352" s="19"/>
      <c r="G4352" s="19"/>
      <c r="N4352" s="19"/>
      <c r="P4352" s="19"/>
      <c r="AL4352" s="19"/>
    </row>
    <row r="4353" spans="1:38" s="11" customFormat="1" x14ac:dyDescent="0.25">
      <c r="A4353" s="3"/>
      <c r="F4353" s="19"/>
      <c r="G4353" s="19"/>
      <c r="N4353" s="19"/>
      <c r="P4353" s="19"/>
      <c r="AL4353" s="19"/>
    </row>
    <row r="4354" spans="1:38" s="11" customFormat="1" x14ac:dyDescent="0.25">
      <c r="A4354" s="3"/>
      <c r="F4354" s="19"/>
      <c r="G4354" s="19"/>
      <c r="N4354" s="19"/>
      <c r="P4354" s="19"/>
      <c r="AL4354" s="19"/>
    </row>
    <row r="4355" spans="1:38" s="11" customFormat="1" x14ac:dyDescent="0.25">
      <c r="A4355" s="3"/>
      <c r="F4355" s="19"/>
      <c r="G4355" s="19"/>
      <c r="N4355" s="19"/>
      <c r="P4355" s="19"/>
      <c r="AL4355" s="19"/>
    </row>
    <row r="4356" spans="1:38" s="11" customFormat="1" x14ac:dyDescent="0.25">
      <c r="A4356" s="3"/>
      <c r="F4356" s="19"/>
      <c r="G4356" s="19"/>
      <c r="N4356" s="19"/>
      <c r="P4356" s="19"/>
      <c r="AL4356" s="19"/>
    </row>
    <row r="4357" spans="1:38" s="11" customFormat="1" x14ac:dyDescent="0.25">
      <c r="A4357" s="3"/>
      <c r="F4357" s="19"/>
      <c r="G4357" s="19"/>
      <c r="N4357" s="19"/>
      <c r="P4357" s="19"/>
      <c r="AL4357" s="19"/>
    </row>
    <row r="4358" spans="1:38" s="11" customFormat="1" x14ac:dyDescent="0.25">
      <c r="A4358" s="3"/>
      <c r="F4358" s="19"/>
      <c r="G4358" s="19"/>
      <c r="N4358" s="19"/>
      <c r="P4358" s="19"/>
      <c r="AL4358" s="19"/>
    </row>
    <row r="4359" spans="1:38" s="11" customFormat="1" x14ac:dyDescent="0.25">
      <c r="A4359" s="3"/>
      <c r="F4359" s="19"/>
      <c r="G4359" s="19"/>
      <c r="N4359" s="19"/>
      <c r="P4359" s="19"/>
      <c r="AL4359" s="19"/>
    </row>
    <row r="4360" spans="1:38" s="11" customFormat="1" x14ac:dyDescent="0.25">
      <c r="A4360" s="3"/>
      <c r="F4360" s="19"/>
      <c r="G4360" s="19"/>
      <c r="N4360" s="19"/>
      <c r="P4360" s="19"/>
      <c r="AL4360" s="19"/>
    </row>
    <row r="4361" spans="1:38" s="11" customFormat="1" x14ac:dyDescent="0.25">
      <c r="A4361" s="3"/>
      <c r="F4361" s="19"/>
      <c r="G4361" s="19"/>
      <c r="N4361" s="19"/>
      <c r="P4361" s="19"/>
      <c r="AL4361" s="19"/>
    </row>
    <row r="4362" spans="1:38" s="11" customFormat="1" x14ac:dyDescent="0.25">
      <c r="A4362" s="3"/>
      <c r="F4362" s="19"/>
      <c r="G4362" s="19"/>
      <c r="N4362" s="19"/>
      <c r="P4362" s="19"/>
      <c r="AL4362" s="19"/>
    </row>
    <row r="4363" spans="1:38" s="11" customFormat="1" x14ac:dyDescent="0.25">
      <c r="A4363" s="3"/>
      <c r="F4363" s="19"/>
      <c r="G4363" s="19"/>
      <c r="N4363" s="19"/>
      <c r="P4363" s="19"/>
      <c r="AL4363" s="19"/>
    </row>
    <row r="4364" spans="1:38" s="11" customFormat="1" x14ac:dyDescent="0.25">
      <c r="A4364" s="3"/>
      <c r="F4364" s="19"/>
      <c r="G4364" s="19"/>
      <c r="N4364" s="19"/>
      <c r="P4364" s="19"/>
      <c r="AL4364" s="19"/>
    </row>
    <row r="4365" spans="1:38" s="11" customFormat="1" x14ac:dyDescent="0.25">
      <c r="A4365" s="3"/>
      <c r="F4365" s="19"/>
      <c r="G4365" s="19"/>
      <c r="N4365" s="19"/>
      <c r="P4365" s="19"/>
      <c r="AL4365" s="19"/>
    </row>
    <row r="4366" spans="1:38" s="11" customFormat="1" x14ac:dyDescent="0.25">
      <c r="A4366" s="3"/>
      <c r="F4366" s="19"/>
      <c r="G4366" s="19"/>
      <c r="N4366" s="19"/>
      <c r="P4366" s="19"/>
      <c r="AL4366" s="19"/>
    </row>
    <row r="4367" spans="1:38" s="11" customFormat="1" x14ac:dyDescent="0.25">
      <c r="A4367" s="3"/>
      <c r="F4367" s="19"/>
      <c r="G4367" s="19"/>
      <c r="N4367" s="19"/>
      <c r="P4367" s="19"/>
      <c r="AL4367" s="19"/>
    </row>
    <row r="4368" spans="1:38" s="11" customFormat="1" x14ac:dyDescent="0.25">
      <c r="A4368" s="3"/>
      <c r="F4368" s="19"/>
      <c r="G4368" s="19"/>
      <c r="N4368" s="19"/>
      <c r="P4368" s="19"/>
      <c r="AL4368" s="19"/>
    </row>
    <row r="4369" spans="1:38" s="11" customFormat="1" x14ac:dyDescent="0.25">
      <c r="A4369" s="3"/>
      <c r="F4369" s="19"/>
      <c r="G4369" s="19"/>
      <c r="N4369" s="19"/>
      <c r="P4369" s="19"/>
      <c r="AL4369" s="19"/>
    </row>
    <row r="4370" spans="1:38" s="11" customFormat="1" x14ac:dyDescent="0.25">
      <c r="A4370" s="3"/>
      <c r="F4370" s="19"/>
      <c r="G4370" s="19"/>
      <c r="N4370" s="19"/>
      <c r="P4370" s="19"/>
      <c r="AL4370" s="19"/>
    </row>
    <row r="4371" spans="1:38" s="11" customFormat="1" x14ac:dyDescent="0.25">
      <c r="A4371" s="3"/>
      <c r="F4371" s="19"/>
      <c r="G4371" s="19"/>
      <c r="N4371" s="19"/>
      <c r="P4371" s="19"/>
      <c r="AL4371" s="19"/>
    </row>
    <row r="4372" spans="1:38" s="11" customFormat="1" x14ac:dyDescent="0.25">
      <c r="A4372" s="3"/>
      <c r="F4372" s="19"/>
      <c r="G4372" s="19"/>
      <c r="N4372" s="19"/>
      <c r="P4372" s="19"/>
      <c r="AL4372" s="19"/>
    </row>
    <row r="4373" spans="1:38" s="11" customFormat="1" x14ac:dyDescent="0.25">
      <c r="A4373" s="3"/>
      <c r="F4373" s="19"/>
      <c r="G4373" s="19"/>
      <c r="N4373" s="19"/>
      <c r="P4373" s="19"/>
      <c r="AL4373" s="19"/>
    </row>
    <row r="4374" spans="1:38" s="11" customFormat="1" x14ac:dyDescent="0.25">
      <c r="A4374" s="3"/>
      <c r="F4374" s="19"/>
      <c r="G4374" s="19"/>
      <c r="N4374" s="19"/>
      <c r="P4374" s="19"/>
      <c r="AL4374" s="19"/>
    </row>
    <row r="4375" spans="1:38" s="11" customFormat="1" x14ac:dyDescent="0.25">
      <c r="A4375" s="3"/>
      <c r="F4375" s="19"/>
      <c r="G4375" s="19"/>
      <c r="N4375" s="19"/>
      <c r="P4375" s="19"/>
      <c r="AL4375" s="19"/>
    </row>
    <row r="4376" spans="1:38" s="11" customFormat="1" x14ac:dyDescent="0.25">
      <c r="A4376" s="3"/>
      <c r="F4376" s="19"/>
      <c r="G4376" s="19"/>
      <c r="N4376" s="19"/>
      <c r="P4376" s="19"/>
      <c r="AL4376" s="19"/>
    </row>
    <row r="4377" spans="1:38" s="11" customFormat="1" x14ac:dyDescent="0.25">
      <c r="A4377" s="3"/>
      <c r="F4377" s="19"/>
      <c r="G4377" s="19"/>
      <c r="N4377" s="19"/>
      <c r="P4377" s="19"/>
      <c r="AL4377" s="19"/>
    </row>
    <row r="4378" spans="1:38" s="11" customFormat="1" x14ac:dyDescent="0.25">
      <c r="A4378" s="3"/>
      <c r="F4378" s="19"/>
      <c r="G4378" s="19"/>
      <c r="N4378" s="19"/>
      <c r="P4378" s="19"/>
      <c r="AL4378" s="19"/>
    </row>
    <row r="4379" spans="1:38" s="11" customFormat="1" x14ac:dyDescent="0.25">
      <c r="A4379" s="3"/>
      <c r="F4379" s="19"/>
      <c r="G4379" s="19"/>
      <c r="N4379" s="19"/>
      <c r="P4379" s="19"/>
      <c r="AL4379" s="19"/>
    </row>
    <row r="4380" spans="1:38" s="11" customFormat="1" x14ac:dyDescent="0.25">
      <c r="A4380" s="3"/>
      <c r="F4380" s="19"/>
      <c r="G4380" s="19"/>
      <c r="N4380" s="19"/>
      <c r="P4380" s="19"/>
      <c r="AL4380" s="19"/>
    </row>
    <row r="4381" spans="1:38" s="11" customFormat="1" x14ac:dyDescent="0.25">
      <c r="A4381" s="3"/>
      <c r="F4381" s="19"/>
      <c r="G4381" s="19"/>
      <c r="N4381" s="19"/>
      <c r="P4381" s="19"/>
      <c r="AL4381" s="19"/>
    </row>
    <row r="4382" spans="1:38" s="11" customFormat="1" x14ac:dyDescent="0.25">
      <c r="A4382" s="3"/>
      <c r="F4382" s="19"/>
      <c r="G4382" s="19"/>
      <c r="N4382" s="19"/>
      <c r="P4382" s="19"/>
      <c r="AL4382" s="19"/>
    </row>
    <row r="4383" spans="1:38" s="11" customFormat="1" x14ac:dyDescent="0.25">
      <c r="A4383" s="3"/>
      <c r="F4383" s="19"/>
      <c r="G4383" s="19"/>
      <c r="N4383" s="19"/>
      <c r="P4383" s="19"/>
      <c r="AL4383" s="19"/>
    </row>
    <row r="4384" spans="1:38" s="11" customFormat="1" x14ac:dyDescent="0.25">
      <c r="A4384" s="3"/>
      <c r="F4384" s="19"/>
      <c r="G4384" s="19"/>
      <c r="N4384" s="19"/>
      <c r="P4384" s="19"/>
      <c r="AL4384" s="19"/>
    </row>
    <row r="4385" spans="1:38" s="11" customFormat="1" x14ac:dyDescent="0.25">
      <c r="A4385" s="3"/>
      <c r="F4385" s="19"/>
      <c r="G4385" s="19"/>
      <c r="N4385" s="19"/>
      <c r="P4385" s="19"/>
      <c r="AL4385" s="19"/>
    </row>
    <row r="4386" spans="1:38" s="11" customFormat="1" x14ac:dyDescent="0.25">
      <c r="A4386" s="3"/>
      <c r="F4386" s="19"/>
      <c r="G4386" s="19"/>
      <c r="N4386" s="19"/>
      <c r="P4386" s="19"/>
      <c r="AL4386" s="19"/>
    </row>
    <row r="4387" spans="1:38" s="11" customFormat="1" x14ac:dyDescent="0.25">
      <c r="A4387" s="3"/>
      <c r="F4387" s="19"/>
      <c r="G4387" s="19"/>
      <c r="N4387" s="19"/>
      <c r="P4387" s="19"/>
      <c r="AL4387" s="19"/>
    </row>
    <row r="4388" spans="1:38" s="11" customFormat="1" x14ac:dyDescent="0.25">
      <c r="A4388" s="3"/>
      <c r="F4388" s="19"/>
      <c r="G4388" s="19"/>
      <c r="N4388" s="19"/>
      <c r="P4388" s="19"/>
      <c r="AL4388" s="19"/>
    </row>
    <row r="4389" spans="1:38" s="11" customFormat="1" x14ac:dyDescent="0.25">
      <c r="A4389" s="3"/>
      <c r="F4389" s="19"/>
      <c r="G4389" s="19"/>
      <c r="N4389" s="19"/>
      <c r="P4389" s="19"/>
      <c r="AL4389" s="19"/>
    </row>
    <row r="4390" spans="1:38" s="11" customFormat="1" x14ac:dyDescent="0.25">
      <c r="A4390" s="3"/>
      <c r="F4390" s="19"/>
      <c r="G4390" s="19"/>
      <c r="N4390" s="19"/>
      <c r="P4390" s="19"/>
      <c r="AL4390" s="19"/>
    </row>
    <row r="4391" spans="1:38" s="11" customFormat="1" x14ac:dyDescent="0.25">
      <c r="A4391" s="3"/>
      <c r="F4391" s="19"/>
      <c r="G4391" s="19"/>
      <c r="N4391" s="19"/>
      <c r="P4391" s="19"/>
      <c r="AL4391" s="19"/>
    </row>
    <row r="4392" spans="1:38" s="11" customFormat="1" x14ac:dyDescent="0.25">
      <c r="A4392" s="3"/>
      <c r="F4392" s="19"/>
      <c r="G4392" s="19"/>
      <c r="N4392" s="19"/>
      <c r="P4392" s="19"/>
      <c r="AL4392" s="19"/>
    </row>
    <row r="4393" spans="1:38" s="11" customFormat="1" x14ac:dyDescent="0.25">
      <c r="A4393" s="3"/>
      <c r="F4393" s="19"/>
      <c r="G4393" s="19"/>
      <c r="N4393" s="19"/>
      <c r="P4393" s="19"/>
      <c r="AL4393" s="19"/>
    </row>
    <row r="4394" spans="1:38" s="11" customFormat="1" x14ac:dyDescent="0.25">
      <c r="A4394" s="3"/>
      <c r="F4394" s="19"/>
      <c r="G4394" s="19"/>
      <c r="N4394" s="19"/>
      <c r="P4394" s="19"/>
      <c r="AL4394" s="19"/>
    </row>
    <row r="4395" spans="1:38" s="11" customFormat="1" x14ac:dyDescent="0.25">
      <c r="A4395" s="3"/>
      <c r="F4395" s="19"/>
      <c r="G4395" s="19"/>
      <c r="N4395" s="19"/>
      <c r="P4395" s="19"/>
      <c r="AL4395" s="19"/>
    </row>
    <row r="4396" spans="1:38" s="11" customFormat="1" x14ac:dyDescent="0.25">
      <c r="A4396" s="3"/>
      <c r="F4396" s="19"/>
      <c r="G4396" s="19"/>
      <c r="N4396" s="19"/>
      <c r="P4396" s="19"/>
      <c r="AL4396" s="19"/>
    </row>
    <row r="4397" spans="1:38" s="11" customFormat="1" x14ac:dyDescent="0.25">
      <c r="A4397" s="3"/>
      <c r="F4397" s="19"/>
      <c r="G4397" s="19"/>
      <c r="N4397" s="19"/>
      <c r="P4397" s="19"/>
      <c r="AL4397" s="19"/>
    </row>
    <row r="4398" spans="1:38" s="11" customFormat="1" x14ac:dyDescent="0.25">
      <c r="A4398" s="3"/>
      <c r="F4398" s="19"/>
      <c r="G4398" s="19"/>
      <c r="N4398" s="19"/>
      <c r="P4398" s="19"/>
      <c r="AL4398" s="19"/>
    </row>
    <row r="4399" spans="1:38" s="11" customFormat="1" x14ac:dyDescent="0.25">
      <c r="A4399" s="3"/>
      <c r="F4399" s="19"/>
      <c r="G4399" s="19"/>
      <c r="N4399" s="19"/>
      <c r="P4399" s="19"/>
      <c r="AL4399" s="19"/>
    </row>
    <row r="4400" spans="1:38" s="11" customFormat="1" x14ac:dyDescent="0.25">
      <c r="A4400" s="3"/>
      <c r="F4400" s="19"/>
      <c r="G4400" s="19"/>
      <c r="N4400" s="19"/>
      <c r="P4400" s="19"/>
      <c r="AL4400" s="19"/>
    </row>
    <row r="4401" spans="1:38" s="11" customFormat="1" x14ac:dyDescent="0.25">
      <c r="A4401" s="3"/>
      <c r="F4401" s="19"/>
      <c r="G4401" s="19"/>
      <c r="N4401" s="19"/>
      <c r="P4401" s="19"/>
      <c r="AL4401" s="19"/>
    </row>
    <row r="4402" spans="1:38" s="11" customFormat="1" x14ac:dyDescent="0.25">
      <c r="A4402" s="3"/>
      <c r="F4402" s="19"/>
      <c r="G4402" s="19"/>
      <c r="N4402" s="19"/>
      <c r="P4402" s="19"/>
      <c r="AL4402" s="19"/>
    </row>
    <row r="4403" spans="1:38" s="11" customFormat="1" x14ac:dyDescent="0.25">
      <c r="A4403" s="3"/>
      <c r="F4403" s="19"/>
      <c r="G4403" s="19"/>
      <c r="N4403" s="19"/>
      <c r="P4403" s="19"/>
      <c r="AL4403" s="19"/>
    </row>
    <row r="4404" spans="1:38" s="11" customFormat="1" x14ac:dyDescent="0.25">
      <c r="A4404" s="3"/>
      <c r="F4404" s="19"/>
      <c r="G4404" s="19"/>
      <c r="N4404" s="19"/>
      <c r="P4404" s="19"/>
      <c r="AL4404" s="19"/>
    </row>
    <row r="4405" spans="1:38" s="11" customFormat="1" x14ac:dyDescent="0.25">
      <c r="A4405" s="3"/>
      <c r="F4405" s="19"/>
      <c r="G4405" s="19"/>
      <c r="N4405" s="19"/>
      <c r="P4405" s="19"/>
      <c r="AL4405" s="19"/>
    </row>
    <row r="4406" spans="1:38" s="11" customFormat="1" x14ac:dyDescent="0.25">
      <c r="A4406" s="3"/>
      <c r="F4406" s="19"/>
      <c r="G4406" s="19"/>
      <c r="N4406" s="19"/>
      <c r="P4406" s="19"/>
      <c r="AL4406" s="19"/>
    </row>
    <row r="4407" spans="1:38" s="11" customFormat="1" x14ac:dyDescent="0.25">
      <c r="A4407" s="3"/>
      <c r="F4407" s="19"/>
      <c r="G4407" s="19"/>
      <c r="N4407" s="19"/>
      <c r="P4407" s="19"/>
      <c r="AL4407" s="19"/>
    </row>
    <row r="4408" spans="1:38" s="11" customFormat="1" x14ac:dyDescent="0.25">
      <c r="A4408" s="3"/>
      <c r="F4408" s="19"/>
      <c r="G4408" s="19"/>
      <c r="N4408" s="19"/>
      <c r="P4408" s="19"/>
      <c r="AL4408" s="19"/>
    </row>
    <row r="4409" spans="1:38" s="11" customFormat="1" x14ac:dyDescent="0.25">
      <c r="A4409" s="3"/>
      <c r="F4409" s="19"/>
      <c r="G4409" s="19"/>
      <c r="N4409" s="19"/>
      <c r="P4409" s="19"/>
      <c r="AL4409" s="19"/>
    </row>
    <row r="4410" spans="1:38" s="11" customFormat="1" x14ac:dyDescent="0.25">
      <c r="A4410" s="3"/>
      <c r="F4410" s="19"/>
      <c r="G4410" s="19"/>
      <c r="N4410" s="19"/>
      <c r="P4410" s="19"/>
      <c r="AL4410" s="19"/>
    </row>
    <row r="4411" spans="1:38" s="11" customFormat="1" x14ac:dyDescent="0.25">
      <c r="A4411" s="3"/>
      <c r="F4411" s="19"/>
      <c r="G4411" s="19"/>
      <c r="N4411" s="19"/>
      <c r="P4411" s="19"/>
      <c r="AL4411" s="19"/>
    </row>
    <row r="4412" spans="1:38" s="11" customFormat="1" x14ac:dyDescent="0.25">
      <c r="A4412" s="3"/>
      <c r="F4412" s="19"/>
      <c r="G4412" s="19"/>
      <c r="N4412" s="19"/>
      <c r="P4412" s="19"/>
      <c r="AL4412" s="19"/>
    </row>
    <row r="4413" spans="1:38" s="11" customFormat="1" x14ac:dyDescent="0.25">
      <c r="A4413" s="3"/>
      <c r="F4413" s="19"/>
      <c r="G4413" s="19"/>
      <c r="N4413" s="19"/>
      <c r="P4413" s="19"/>
      <c r="AL4413" s="19"/>
    </row>
    <row r="4414" spans="1:38" s="11" customFormat="1" x14ac:dyDescent="0.25">
      <c r="A4414" s="3"/>
      <c r="F4414" s="19"/>
      <c r="G4414" s="19"/>
      <c r="N4414" s="19"/>
      <c r="P4414" s="19"/>
      <c r="AL4414" s="19"/>
    </row>
    <row r="4415" spans="1:38" s="11" customFormat="1" x14ac:dyDescent="0.25">
      <c r="A4415" s="3"/>
      <c r="F4415" s="19"/>
      <c r="G4415" s="19"/>
      <c r="N4415" s="19"/>
      <c r="P4415" s="19"/>
      <c r="AL4415" s="19"/>
    </row>
    <row r="4416" spans="1:38" s="11" customFormat="1" x14ac:dyDescent="0.25">
      <c r="A4416" s="3"/>
      <c r="F4416" s="19"/>
      <c r="G4416" s="19"/>
      <c r="N4416" s="19"/>
      <c r="P4416" s="19"/>
      <c r="AL4416" s="19"/>
    </row>
    <row r="4417" spans="1:38" s="11" customFormat="1" x14ac:dyDescent="0.25">
      <c r="A4417" s="3"/>
      <c r="F4417" s="19"/>
      <c r="G4417" s="19"/>
      <c r="N4417" s="19"/>
      <c r="P4417" s="19"/>
      <c r="AL4417" s="19"/>
    </row>
    <row r="4418" spans="1:38" s="11" customFormat="1" x14ac:dyDescent="0.25">
      <c r="A4418" s="3"/>
      <c r="F4418" s="19"/>
      <c r="G4418" s="19"/>
      <c r="N4418" s="19"/>
      <c r="P4418" s="19"/>
      <c r="AL4418" s="19"/>
    </row>
    <row r="4419" spans="1:38" s="11" customFormat="1" x14ac:dyDescent="0.25">
      <c r="A4419" s="3"/>
      <c r="F4419" s="19"/>
      <c r="G4419" s="19"/>
      <c r="N4419" s="19"/>
      <c r="P4419" s="19"/>
      <c r="AL4419" s="19"/>
    </row>
    <row r="4420" spans="1:38" s="11" customFormat="1" x14ac:dyDescent="0.25">
      <c r="A4420" s="3"/>
      <c r="F4420" s="19"/>
      <c r="G4420" s="19"/>
      <c r="N4420" s="19"/>
      <c r="P4420" s="19"/>
      <c r="AL4420" s="19"/>
    </row>
    <row r="4421" spans="1:38" s="11" customFormat="1" x14ac:dyDescent="0.25">
      <c r="A4421" s="3"/>
      <c r="F4421" s="19"/>
      <c r="G4421" s="19"/>
      <c r="N4421" s="19"/>
      <c r="P4421" s="19"/>
      <c r="AL4421" s="19"/>
    </row>
    <row r="4422" spans="1:38" s="11" customFormat="1" x14ac:dyDescent="0.25">
      <c r="A4422" s="3"/>
      <c r="F4422" s="19"/>
      <c r="G4422" s="19"/>
      <c r="N4422" s="19"/>
      <c r="P4422" s="19"/>
      <c r="AL4422" s="19"/>
    </row>
    <row r="4423" spans="1:38" s="11" customFormat="1" x14ac:dyDescent="0.25">
      <c r="A4423" s="3"/>
      <c r="F4423" s="19"/>
      <c r="G4423" s="19"/>
      <c r="N4423" s="19"/>
      <c r="P4423" s="19"/>
      <c r="AL4423" s="19"/>
    </row>
    <row r="4424" spans="1:38" s="11" customFormat="1" x14ac:dyDescent="0.25">
      <c r="A4424" s="3"/>
      <c r="F4424" s="19"/>
      <c r="G4424" s="19"/>
      <c r="N4424" s="19"/>
      <c r="P4424" s="19"/>
      <c r="AL4424" s="19"/>
    </row>
    <row r="4425" spans="1:38" s="11" customFormat="1" x14ac:dyDescent="0.25">
      <c r="A4425" s="3"/>
      <c r="F4425" s="19"/>
      <c r="G4425" s="19"/>
      <c r="N4425" s="19"/>
      <c r="P4425" s="19"/>
      <c r="AL4425" s="19"/>
    </row>
    <row r="4426" spans="1:38" s="11" customFormat="1" x14ac:dyDescent="0.25">
      <c r="A4426" s="3"/>
      <c r="F4426" s="19"/>
      <c r="G4426" s="19"/>
      <c r="N4426" s="19"/>
      <c r="P4426" s="19"/>
      <c r="AL4426" s="19"/>
    </row>
    <row r="4427" spans="1:38" s="11" customFormat="1" x14ac:dyDescent="0.25">
      <c r="A4427" s="3"/>
      <c r="F4427" s="19"/>
      <c r="G4427" s="19"/>
      <c r="N4427" s="19"/>
      <c r="P4427" s="19"/>
      <c r="AL4427" s="19"/>
    </row>
    <row r="4428" spans="1:38" s="11" customFormat="1" x14ac:dyDescent="0.25">
      <c r="A4428" s="3"/>
      <c r="F4428" s="19"/>
      <c r="G4428" s="19"/>
      <c r="N4428" s="19"/>
      <c r="P4428" s="19"/>
      <c r="AL4428" s="19"/>
    </row>
    <row r="4429" spans="1:38" s="11" customFormat="1" x14ac:dyDescent="0.25">
      <c r="A4429" s="3"/>
      <c r="F4429" s="19"/>
      <c r="G4429" s="19"/>
      <c r="N4429" s="19"/>
      <c r="P4429" s="19"/>
      <c r="AL4429" s="19"/>
    </row>
    <row r="4430" spans="1:38" s="11" customFormat="1" x14ac:dyDescent="0.25">
      <c r="A4430" s="3"/>
      <c r="F4430" s="19"/>
      <c r="G4430" s="19"/>
      <c r="N4430" s="19"/>
      <c r="P4430" s="19"/>
      <c r="AL4430" s="19"/>
    </row>
    <row r="4431" spans="1:38" s="11" customFormat="1" x14ac:dyDescent="0.25">
      <c r="A4431" s="3"/>
      <c r="F4431" s="19"/>
      <c r="G4431" s="19"/>
      <c r="N4431" s="19"/>
      <c r="P4431" s="19"/>
      <c r="AL4431" s="19"/>
    </row>
    <row r="4432" spans="1:38" s="11" customFormat="1" x14ac:dyDescent="0.25">
      <c r="A4432" s="3"/>
      <c r="F4432" s="19"/>
      <c r="G4432" s="19"/>
      <c r="N4432" s="19"/>
      <c r="P4432" s="19"/>
      <c r="AL4432" s="19"/>
    </row>
    <row r="4433" spans="1:38" s="11" customFormat="1" x14ac:dyDescent="0.25">
      <c r="A4433" s="3"/>
      <c r="F4433" s="19"/>
      <c r="G4433" s="19"/>
      <c r="N4433" s="19"/>
      <c r="P4433" s="19"/>
      <c r="AL4433" s="19"/>
    </row>
    <row r="4434" spans="1:38" s="11" customFormat="1" x14ac:dyDescent="0.25">
      <c r="A4434" s="3"/>
      <c r="F4434" s="19"/>
      <c r="G4434" s="19"/>
      <c r="N4434" s="19"/>
      <c r="P4434" s="19"/>
      <c r="AL4434" s="19"/>
    </row>
    <row r="4435" spans="1:38" s="11" customFormat="1" x14ac:dyDescent="0.25">
      <c r="A4435" s="3"/>
      <c r="F4435" s="19"/>
      <c r="G4435" s="19"/>
      <c r="N4435" s="19"/>
      <c r="P4435" s="19"/>
      <c r="AL4435" s="19"/>
    </row>
    <row r="4436" spans="1:38" s="11" customFormat="1" x14ac:dyDescent="0.25">
      <c r="A4436" s="3"/>
      <c r="F4436" s="19"/>
      <c r="G4436" s="19"/>
      <c r="N4436" s="19"/>
      <c r="P4436" s="19"/>
      <c r="AL4436" s="19"/>
    </row>
    <row r="4437" spans="1:38" s="11" customFormat="1" x14ac:dyDescent="0.25">
      <c r="A4437" s="3"/>
      <c r="F4437" s="19"/>
      <c r="G4437" s="19"/>
      <c r="N4437" s="19"/>
      <c r="P4437" s="19"/>
      <c r="AL4437" s="19"/>
    </row>
    <row r="4438" spans="1:38" s="11" customFormat="1" x14ac:dyDescent="0.25">
      <c r="A4438" s="3"/>
      <c r="F4438" s="19"/>
      <c r="G4438" s="19"/>
      <c r="N4438" s="19"/>
      <c r="P4438" s="19"/>
      <c r="AL4438" s="19"/>
    </row>
    <row r="4439" spans="1:38" s="11" customFormat="1" x14ac:dyDescent="0.25">
      <c r="A4439" s="3"/>
      <c r="F4439" s="19"/>
      <c r="G4439" s="19"/>
      <c r="N4439" s="19"/>
      <c r="P4439" s="19"/>
      <c r="AL4439" s="19"/>
    </row>
    <row r="4440" spans="1:38" s="11" customFormat="1" x14ac:dyDescent="0.25">
      <c r="A4440" s="3"/>
      <c r="F4440" s="19"/>
      <c r="G4440" s="19"/>
      <c r="N4440" s="19"/>
      <c r="P4440" s="19"/>
      <c r="AL4440" s="19"/>
    </row>
    <row r="4441" spans="1:38" s="11" customFormat="1" x14ac:dyDescent="0.25">
      <c r="A4441" s="3"/>
      <c r="F4441" s="19"/>
      <c r="G4441" s="19"/>
      <c r="N4441" s="19"/>
      <c r="P4441" s="19"/>
      <c r="AL4441" s="19"/>
    </row>
    <row r="4442" spans="1:38" s="11" customFormat="1" x14ac:dyDescent="0.25">
      <c r="A4442" s="3"/>
      <c r="F4442" s="19"/>
      <c r="G4442" s="19"/>
      <c r="N4442" s="19"/>
      <c r="P4442" s="19"/>
      <c r="AL4442" s="19"/>
    </row>
    <row r="4443" spans="1:38" s="11" customFormat="1" x14ac:dyDescent="0.25">
      <c r="A4443" s="3"/>
      <c r="F4443" s="19"/>
      <c r="G4443" s="19"/>
      <c r="N4443" s="19"/>
      <c r="P4443" s="19"/>
      <c r="AL4443" s="19"/>
    </row>
    <row r="4444" spans="1:38" s="11" customFormat="1" x14ac:dyDescent="0.25">
      <c r="A4444" s="3"/>
      <c r="F4444" s="19"/>
      <c r="G4444" s="19"/>
      <c r="N4444" s="19"/>
      <c r="P4444" s="19"/>
      <c r="AL4444" s="19"/>
    </row>
    <row r="4445" spans="1:38" s="11" customFormat="1" x14ac:dyDescent="0.25">
      <c r="A4445" s="3"/>
      <c r="F4445" s="19"/>
      <c r="G4445" s="19"/>
      <c r="N4445" s="19"/>
      <c r="P4445" s="19"/>
      <c r="AL4445" s="19"/>
    </row>
    <row r="4446" spans="1:38" s="11" customFormat="1" x14ac:dyDescent="0.25">
      <c r="A4446" s="3"/>
      <c r="F4446" s="19"/>
      <c r="G4446" s="19"/>
      <c r="N4446" s="19"/>
      <c r="P4446" s="19"/>
      <c r="AL4446" s="19"/>
    </row>
    <row r="4447" spans="1:38" s="11" customFormat="1" x14ac:dyDescent="0.25">
      <c r="A4447" s="3"/>
      <c r="F4447" s="19"/>
      <c r="G4447" s="19"/>
      <c r="N4447" s="19"/>
      <c r="P4447" s="19"/>
      <c r="AL4447" s="19"/>
    </row>
    <row r="4448" spans="1:38" s="11" customFormat="1" x14ac:dyDescent="0.25">
      <c r="A4448" s="3"/>
      <c r="F4448" s="19"/>
      <c r="G4448" s="19"/>
      <c r="N4448" s="19"/>
      <c r="P4448" s="19"/>
      <c r="AL4448" s="19"/>
    </row>
    <row r="4449" spans="1:38" s="11" customFormat="1" x14ac:dyDescent="0.25">
      <c r="A4449" s="3"/>
      <c r="F4449" s="19"/>
      <c r="G4449" s="19"/>
      <c r="N4449" s="19"/>
      <c r="P4449" s="19"/>
      <c r="AL4449" s="19"/>
    </row>
    <row r="4450" spans="1:38" s="11" customFormat="1" x14ac:dyDescent="0.25">
      <c r="A4450" s="3"/>
      <c r="F4450" s="19"/>
      <c r="G4450" s="19"/>
      <c r="N4450" s="19"/>
      <c r="P4450" s="19"/>
      <c r="AL4450" s="19"/>
    </row>
    <row r="4451" spans="1:38" s="11" customFormat="1" x14ac:dyDescent="0.25">
      <c r="A4451" s="3"/>
      <c r="F4451" s="19"/>
      <c r="G4451" s="19"/>
      <c r="N4451" s="19"/>
      <c r="P4451" s="19"/>
      <c r="AL4451" s="19"/>
    </row>
    <row r="4452" spans="1:38" s="11" customFormat="1" x14ac:dyDescent="0.25">
      <c r="A4452" s="3"/>
      <c r="F4452" s="19"/>
      <c r="G4452" s="19"/>
      <c r="N4452" s="19"/>
      <c r="P4452" s="19"/>
      <c r="AL4452" s="19"/>
    </row>
    <row r="4453" spans="1:38" s="11" customFormat="1" x14ac:dyDescent="0.25">
      <c r="A4453" s="3"/>
      <c r="F4453" s="19"/>
      <c r="G4453" s="19"/>
      <c r="N4453" s="19"/>
      <c r="P4453" s="19"/>
      <c r="AL4453" s="19"/>
    </row>
    <row r="4454" spans="1:38" s="11" customFormat="1" x14ac:dyDescent="0.25">
      <c r="A4454" s="3"/>
      <c r="F4454" s="19"/>
      <c r="G4454" s="19"/>
      <c r="N4454" s="19"/>
      <c r="P4454" s="19"/>
      <c r="AL4454" s="19"/>
    </row>
    <row r="4455" spans="1:38" s="11" customFormat="1" x14ac:dyDescent="0.25">
      <c r="A4455" s="3"/>
      <c r="F4455" s="19"/>
      <c r="G4455" s="19"/>
      <c r="N4455" s="19"/>
      <c r="P4455" s="19"/>
      <c r="AL4455" s="19"/>
    </row>
    <row r="4456" spans="1:38" s="11" customFormat="1" x14ac:dyDescent="0.25">
      <c r="A4456" s="3"/>
      <c r="F4456" s="19"/>
      <c r="G4456" s="19"/>
      <c r="N4456" s="19"/>
      <c r="P4456" s="19"/>
      <c r="AL4456" s="19"/>
    </row>
    <row r="4457" spans="1:38" s="11" customFormat="1" x14ac:dyDescent="0.25">
      <c r="A4457" s="3"/>
      <c r="F4457" s="19"/>
      <c r="G4457" s="19"/>
      <c r="N4457" s="19"/>
      <c r="P4457" s="19"/>
      <c r="AL4457" s="19"/>
    </row>
    <row r="4458" spans="1:38" s="11" customFormat="1" x14ac:dyDescent="0.25">
      <c r="A4458" s="3"/>
      <c r="F4458" s="19"/>
      <c r="G4458" s="19"/>
      <c r="N4458" s="19"/>
      <c r="P4458" s="19"/>
      <c r="AL4458" s="19"/>
    </row>
    <row r="4459" spans="1:38" s="11" customFormat="1" x14ac:dyDescent="0.25">
      <c r="A4459" s="3"/>
      <c r="F4459" s="19"/>
      <c r="G4459" s="19"/>
      <c r="N4459" s="19"/>
      <c r="P4459" s="19"/>
      <c r="AL4459" s="19"/>
    </row>
    <row r="4460" spans="1:38" s="11" customFormat="1" x14ac:dyDescent="0.25">
      <c r="A4460" s="3"/>
      <c r="F4460" s="19"/>
      <c r="G4460" s="19"/>
      <c r="N4460" s="19"/>
      <c r="P4460" s="19"/>
      <c r="AL4460" s="19"/>
    </row>
    <row r="4461" spans="1:38" s="11" customFormat="1" x14ac:dyDescent="0.25">
      <c r="A4461" s="3"/>
      <c r="F4461" s="19"/>
      <c r="G4461" s="19"/>
      <c r="N4461" s="19"/>
      <c r="P4461" s="19"/>
      <c r="AL4461" s="19"/>
    </row>
    <row r="4462" spans="1:38" s="11" customFormat="1" x14ac:dyDescent="0.25">
      <c r="A4462" s="3"/>
      <c r="F4462" s="19"/>
      <c r="G4462" s="19"/>
      <c r="N4462" s="19"/>
      <c r="P4462" s="19"/>
      <c r="AL4462" s="19"/>
    </row>
    <row r="4463" spans="1:38" s="11" customFormat="1" x14ac:dyDescent="0.25">
      <c r="A4463" s="3"/>
      <c r="F4463" s="19"/>
      <c r="G4463" s="19"/>
      <c r="N4463" s="19"/>
      <c r="P4463" s="19"/>
      <c r="AL4463" s="19"/>
    </row>
    <row r="4464" spans="1:38" s="11" customFormat="1" x14ac:dyDescent="0.25">
      <c r="A4464" s="3"/>
      <c r="F4464" s="19"/>
      <c r="G4464" s="19"/>
      <c r="N4464" s="19"/>
      <c r="P4464" s="19"/>
      <c r="AL4464" s="19"/>
    </row>
    <row r="4465" spans="1:38" s="11" customFormat="1" x14ac:dyDescent="0.25">
      <c r="A4465" s="3"/>
      <c r="F4465" s="19"/>
      <c r="G4465" s="19"/>
      <c r="N4465" s="19"/>
      <c r="P4465" s="19"/>
      <c r="AL4465" s="19"/>
    </row>
    <row r="4466" spans="1:38" s="11" customFormat="1" x14ac:dyDescent="0.25">
      <c r="A4466" s="3"/>
      <c r="F4466" s="19"/>
      <c r="G4466" s="19"/>
      <c r="N4466" s="19"/>
      <c r="P4466" s="19"/>
      <c r="AL4466" s="19"/>
    </row>
    <row r="4467" spans="1:38" s="11" customFormat="1" x14ac:dyDescent="0.25">
      <c r="A4467" s="3"/>
      <c r="F4467" s="19"/>
      <c r="G4467" s="19"/>
      <c r="N4467" s="19"/>
      <c r="P4467" s="19"/>
      <c r="AL4467" s="19"/>
    </row>
    <row r="4468" spans="1:38" s="11" customFormat="1" x14ac:dyDescent="0.25">
      <c r="A4468" s="3"/>
      <c r="F4468" s="19"/>
      <c r="G4468" s="19"/>
      <c r="N4468" s="19"/>
      <c r="P4468" s="19"/>
      <c r="AL4468" s="19"/>
    </row>
    <row r="4469" spans="1:38" s="11" customFormat="1" x14ac:dyDescent="0.25">
      <c r="A4469" s="3"/>
      <c r="F4469" s="19"/>
      <c r="G4469" s="19"/>
      <c r="N4469" s="19"/>
      <c r="P4469" s="19"/>
      <c r="AL4469" s="19"/>
    </row>
    <row r="4470" spans="1:38" s="11" customFormat="1" x14ac:dyDescent="0.25">
      <c r="A4470" s="3"/>
      <c r="F4470" s="19"/>
      <c r="G4470" s="19"/>
      <c r="N4470" s="19"/>
      <c r="P4470" s="19"/>
      <c r="AL4470" s="19"/>
    </row>
    <row r="4471" spans="1:38" s="11" customFormat="1" x14ac:dyDescent="0.25">
      <c r="A4471" s="3"/>
      <c r="F4471" s="19"/>
      <c r="G4471" s="19"/>
      <c r="N4471" s="19"/>
      <c r="P4471" s="19"/>
      <c r="AL4471" s="19"/>
    </row>
    <row r="4472" spans="1:38" s="11" customFormat="1" x14ac:dyDescent="0.25">
      <c r="A4472" s="3"/>
      <c r="F4472" s="19"/>
      <c r="G4472" s="19"/>
      <c r="N4472" s="19"/>
      <c r="P4472" s="19"/>
      <c r="AL4472" s="19"/>
    </row>
    <row r="4473" spans="1:38" s="11" customFormat="1" x14ac:dyDescent="0.25">
      <c r="A4473" s="3"/>
      <c r="F4473" s="19"/>
      <c r="G4473" s="19"/>
      <c r="N4473" s="19"/>
      <c r="P4473" s="19"/>
      <c r="AL4473" s="19"/>
    </row>
    <row r="4474" spans="1:38" s="11" customFormat="1" x14ac:dyDescent="0.25">
      <c r="A4474" s="3"/>
      <c r="F4474" s="19"/>
      <c r="G4474" s="19"/>
      <c r="N4474" s="19"/>
      <c r="P4474" s="19"/>
      <c r="AL4474" s="19"/>
    </row>
    <row r="4475" spans="1:38" s="11" customFormat="1" x14ac:dyDescent="0.25">
      <c r="A4475" s="3"/>
      <c r="F4475" s="19"/>
      <c r="G4475" s="19"/>
      <c r="N4475" s="19"/>
      <c r="P4475" s="19"/>
      <c r="AL4475" s="19"/>
    </row>
    <row r="4476" spans="1:38" s="11" customFormat="1" x14ac:dyDescent="0.25">
      <c r="A4476" s="3"/>
      <c r="F4476" s="19"/>
      <c r="G4476" s="19"/>
      <c r="N4476" s="19"/>
      <c r="P4476" s="19"/>
      <c r="AL4476" s="19"/>
    </row>
    <row r="4477" spans="1:38" s="11" customFormat="1" x14ac:dyDescent="0.25">
      <c r="A4477" s="3"/>
      <c r="F4477" s="19"/>
      <c r="G4477" s="19"/>
      <c r="N4477" s="19"/>
      <c r="P4477" s="19"/>
      <c r="AL4477" s="19"/>
    </row>
    <row r="4478" spans="1:38" s="11" customFormat="1" x14ac:dyDescent="0.25">
      <c r="A4478" s="3"/>
      <c r="F4478" s="19"/>
      <c r="G4478" s="19"/>
      <c r="N4478" s="19"/>
      <c r="P4478" s="19"/>
      <c r="AL4478" s="19"/>
    </row>
    <row r="4479" spans="1:38" s="11" customFormat="1" x14ac:dyDescent="0.25">
      <c r="A4479" s="3"/>
      <c r="F4479" s="19"/>
      <c r="G4479" s="19"/>
      <c r="N4479" s="19"/>
      <c r="P4479" s="19"/>
      <c r="AL4479" s="19"/>
    </row>
    <row r="4480" spans="1:38" s="11" customFormat="1" x14ac:dyDescent="0.25">
      <c r="A4480" s="3"/>
      <c r="F4480" s="19"/>
      <c r="G4480" s="19"/>
      <c r="N4480" s="19"/>
      <c r="P4480" s="19"/>
      <c r="AL4480" s="19"/>
    </row>
    <row r="4481" spans="1:38" s="11" customFormat="1" x14ac:dyDescent="0.25">
      <c r="A4481" s="3"/>
      <c r="F4481" s="19"/>
      <c r="G4481" s="19"/>
      <c r="N4481" s="19"/>
      <c r="P4481" s="19"/>
      <c r="AL4481" s="19"/>
    </row>
    <row r="4482" spans="1:38" s="11" customFormat="1" x14ac:dyDescent="0.25">
      <c r="A4482" s="3"/>
      <c r="F4482" s="19"/>
      <c r="G4482" s="19"/>
      <c r="N4482" s="19"/>
      <c r="P4482" s="19"/>
      <c r="AL4482" s="19"/>
    </row>
    <row r="4483" spans="1:38" s="11" customFormat="1" x14ac:dyDescent="0.25">
      <c r="A4483" s="3"/>
      <c r="F4483" s="19"/>
      <c r="G4483" s="19"/>
      <c r="N4483" s="19"/>
      <c r="P4483" s="19"/>
      <c r="AL4483" s="19"/>
    </row>
    <row r="4484" spans="1:38" s="11" customFormat="1" x14ac:dyDescent="0.25">
      <c r="A4484" s="3"/>
      <c r="F4484" s="19"/>
      <c r="G4484" s="19"/>
      <c r="N4484" s="19"/>
      <c r="P4484" s="19"/>
      <c r="AL4484" s="19"/>
    </row>
    <row r="4485" spans="1:38" s="11" customFormat="1" x14ac:dyDescent="0.25">
      <c r="A4485" s="3"/>
      <c r="F4485" s="19"/>
      <c r="G4485" s="19"/>
      <c r="N4485" s="19"/>
      <c r="P4485" s="19"/>
      <c r="AL4485" s="19"/>
    </row>
    <row r="4486" spans="1:38" s="11" customFormat="1" x14ac:dyDescent="0.25">
      <c r="A4486" s="3"/>
      <c r="F4486" s="19"/>
      <c r="G4486" s="19"/>
      <c r="N4486" s="19"/>
      <c r="P4486" s="19"/>
      <c r="AL4486" s="19"/>
    </row>
    <row r="4487" spans="1:38" s="11" customFormat="1" x14ac:dyDescent="0.25">
      <c r="A4487" s="3"/>
      <c r="F4487" s="19"/>
      <c r="G4487" s="19"/>
      <c r="N4487" s="19"/>
      <c r="P4487" s="19"/>
      <c r="AL4487" s="19"/>
    </row>
    <row r="4488" spans="1:38" s="11" customFormat="1" x14ac:dyDescent="0.25">
      <c r="A4488" s="3"/>
      <c r="F4488" s="19"/>
      <c r="G4488" s="19"/>
      <c r="N4488" s="19"/>
      <c r="P4488" s="19"/>
      <c r="AL4488" s="19"/>
    </row>
    <row r="4489" spans="1:38" s="11" customFormat="1" x14ac:dyDescent="0.25">
      <c r="A4489" s="3"/>
      <c r="F4489" s="19"/>
      <c r="G4489" s="19"/>
      <c r="N4489" s="19"/>
      <c r="P4489" s="19"/>
      <c r="AL4489" s="19"/>
    </row>
    <row r="4490" spans="1:38" s="11" customFormat="1" x14ac:dyDescent="0.25">
      <c r="A4490" s="3"/>
      <c r="F4490" s="19"/>
      <c r="G4490" s="19"/>
      <c r="N4490" s="19"/>
      <c r="P4490" s="19"/>
      <c r="AL4490" s="19"/>
    </row>
    <row r="4491" spans="1:38" s="11" customFormat="1" x14ac:dyDescent="0.25">
      <c r="A4491" s="3"/>
      <c r="F4491" s="19"/>
      <c r="G4491" s="19"/>
      <c r="N4491" s="19"/>
      <c r="P4491" s="19"/>
      <c r="AL4491" s="19"/>
    </row>
    <row r="4492" spans="1:38" s="11" customFormat="1" x14ac:dyDescent="0.25">
      <c r="A4492" s="3"/>
      <c r="F4492" s="19"/>
      <c r="G4492" s="19"/>
      <c r="N4492" s="19"/>
      <c r="P4492" s="19"/>
      <c r="AL4492" s="19"/>
    </row>
    <row r="4493" spans="1:38" s="11" customFormat="1" x14ac:dyDescent="0.25">
      <c r="A4493" s="3"/>
      <c r="F4493" s="19"/>
      <c r="G4493" s="19"/>
      <c r="N4493" s="19"/>
      <c r="P4493" s="19"/>
      <c r="AL4493" s="19"/>
    </row>
    <row r="4494" spans="1:38" s="11" customFormat="1" x14ac:dyDescent="0.25">
      <c r="A4494" s="3"/>
      <c r="F4494" s="19"/>
      <c r="G4494" s="19"/>
      <c r="N4494" s="19"/>
      <c r="P4494" s="19"/>
      <c r="AL4494" s="19"/>
    </row>
    <row r="4495" spans="1:38" s="11" customFormat="1" x14ac:dyDescent="0.25">
      <c r="A4495" s="3"/>
      <c r="F4495" s="19"/>
      <c r="G4495" s="19"/>
      <c r="N4495" s="19"/>
      <c r="P4495" s="19"/>
      <c r="AL4495" s="19"/>
    </row>
    <row r="4496" spans="1:38" s="11" customFormat="1" x14ac:dyDescent="0.25">
      <c r="A4496" s="3"/>
      <c r="F4496" s="19"/>
      <c r="G4496" s="19"/>
      <c r="N4496" s="19"/>
      <c r="P4496" s="19"/>
      <c r="AL4496" s="19"/>
    </row>
    <row r="4497" spans="1:38" s="11" customFormat="1" x14ac:dyDescent="0.25">
      <c r="A4497" s="3"/>
      <c r="F4497" s="19"/>
      <c r="G4497" s="19"/>
      <c r="N4497" s="19"/>
      <c r="P4497" s="19"/>
      <c r="AL4497" s="19"/>
    </row>
    <row r="4498" spans="1:38" s="11" customFormat="1" x14ac:dyDescent="0.25">
      <c r="A4498" s="3"/>
      <c r="F4498" s="19"/>
      <c r="G4498" s="19"/>
      <c r="N4498" s="19"/>
      <c r="P4498" s="19"/>
      <c r="AL4498" s="19"/>
    </row>
    <row r="4499" spans="1:38" s="11" customFormat="1" x14ac:dyDescent="0.25">
      <c r="A4499" s="3"/>
      <c r="F4499" s="19"/>
      <c r="G4499" s="19"/>
      <c r="N4499" s="19"/>
      <c r="P4499" s="19"/>
      <c r="AL4499" s="19"/>
    </row>
    <row r="4500" spans="1:38" s="11" customFormat="1" x14ac:dyDescent="0.25">
      <c r="A4500" s="3"/>
      <c r="F4500" s="19"/>
      <c r="G4500" s="19"/>
      <c r="N4500" s="19"/>
      <c r="P4500" s="19"/>
      <c r="AL4500" s="19"/>
    </row>
    <row r="4501" spans="1:38" s="11" customFormat="1" x14ac:dyDescent="0.25">
      <c r="A4501" s="3"/>
      <c r="F4501" s="19"/>
      <c r="G4501" s="19"/>
      <c r="N4501" s="19"/>
      <c r="P4501" s="19"/>
      <c r="AL4501" s="19"/>
    </row>
    <row r="4502" spans="1:38" s="11" customFormat="1" x14ac:dyDescent="0.25">
      <c r="A4502" s="3"/>
      <c r="F4502" s="19"/>
      <c r="G4502" s="19"/>
      <c r="N4502" s="19"/>
      <c r="P4502" s="19"/>
      <c r="AL4502" s="19"/>
    </row>
    <row r="4503" spans="1:38" s="11" customFormat="1" x14ac:dyDescent="0.25">
      <c r="A4503" s="3"/>
      <c r="F4503" s="19"/>
      <c r="G4503" s="19"/>
      <c r="N4503" s="19"/>
      <c r="P4503" s="19"/>
      <c r="AL4503" s="19"/>
    </row>
    <row r="4504" spans="1:38" s="11" customFormat="1" x14ac:dyDescent="0.25">
      <c r="A4504" s="3"/>
      <c r="F4504" s="19"/>
      <c r="G4504" s="19"/>
      <c r="N4504" s="19"/>
      <c r="P4504" s="19"/>
      <c r="AL4504" s="19"/>
    </row>
    <row r="4505" spans="1:38" s="11" customFormat="1" x14ac:dyDescent="0.25">
      <c r="A4505" s="3"/>
      <c r="F4505" s="19"/>
      <c r="G4505" s="19"/>
      <c r="N4505" s="19"/>
      <c r="P4505" s="19"/>
      <c r="AL4505" s="19"/>
    </row>
    <row r="4506" spans="1:38" s="11" customFormat="1" x14ac:dyDescent="0.25">
      <c r="A4506" s="3"/>
      <c r="F4506" s="19"/>
      <c r="G4506" s="19"/>
      <c r="N4506" s="19"/>
      <c r="P4506" s="19"/>
      <c r="AL4506" s="19"/>
    </row>
    <row r="4507" spans="1:38" s="11" customFormat="1" x14ac:dyDescent="0.25">
      <c r="A4507" s="3"/>
      <c r="F4507" s="19"/>
      <c r="G4507" s="19"/>
      <c r="N4507" s="19"/>
      <c r="P4507" s="19"/>
      <c r="AL4507" s="19"/>
    </row>
    <row r="4508" spans="1:38" s="11" customFormat="1" x14ac:dyDescent="0.25">
      <c r="A4508" s="3"/>
      <c r="F4508" s="19"/>
      <c r="G4508" s="19"/>
      <c r="N4508" s="19"/>
      <c r="P4508" s="19"/>
      <c r="AL4508" s="19"/>
    </row>
    <row r="4509" spans="1:38" s="11" customFormat="1" x14ac:dyDescent="0.25">
      <c r="A4509" s="3"/>
      <c r="F4509" s="19"/>
      <c r="G4509" s="19"/>
      <c r="N4509" s="19"/>
      <c r="P4509" s="19"/>
      <c r="AL4509" s="19"/>
    </row>
    <row r="4510" spans="1:38" s="11" customFormat="1" x14ac:dyDescent="0.25">
      <c r="A4510" s="3"/>
      <c r="F4510" s="19"/>
      <c r="G4510" s="19"/>
      <c r="N4510" s="19"/>
      <c r="P4510" s="19"/>
      <c r="AL4510" s="19"/>
    </row>
    <row r="4511" spans="1:38" s="11" customFormat="1" x14ac:dyDescent="0.25">
      <c r="A4511" s="3"/>
      <c r="F4511" s="19"/>
      <c r="G4511" s="19"/>
      <c r="N4511" s="19"/>
      <c r="P4511" s="19"/>
      <c r="AL4511" s="19"/>
    </row>
    <row r="4512" spans="1:38" s="11" customFormat="1" x14ac:dyDescent="0.25">
      <c r="A4512" s="3"/>
      <c r="F4512" s="19"/>
      <c r="G4512" s="19"/>
      <c r="N4512" s="19"/>
      <c r="P4512" s="19"/>
      <c r="AL4512" s="19"/>
    </row>
    <row r="4513" spans="1:38" s="11" customFormat="1" x14ac:dyDescent="0.25">
      <c r="A4513" s="3"/>
      <c r="F4513" s="19"/>
      <c r="G4513" s="19"/>
      <c r="N4513" s="19"/>
      <c r="P4513" s="19"/>
      <c r="AL4513" s="19"/>
    </row>
    <row r="4514" spans="1:38" s="11" customFormat="1" x14ac:dyDescent="0.25">
      <c r="A4514" s="3"/>
      <c r="F4514" s="19"/>
      <c r="G4514" s="19"/>
      <c r="N4514" s="19"/>
      <c r="P4514" s="19"/>
      <c r="AL4514" s="19"/>
    </row>
    <row r="4515" spans="1:38" s="11" customFormat="1" x14ac:dyDescent="0.25">
      <c r="A4515" s="3"/>
      <c r="F4515" s="19"/>
      <c r="G4515" s="19"/>
      <c r="N4515" s="19"/>
      <c r="P4515" s="19"/>
      <c r="AL4515" s="19"/>
    </row>
    <row r="4516" spans="1:38" s="11" customFormat="1" x14ac:dyDescent="0.25">
      <c r="A4516" s="3"/>
      <c r="F4516" s="19"/>
      <c r="G4516" s="19"/>
      <c r="N4516" s="19"/>
      <c r="P4516" s="19"/>
      <c r="AL4516" s="19"/>
    </row>
    <row r="4517" spans="1:38" s="11" customFormat="1" x14ac:dyDescent="0.25">
      <c r="A4517" s="3"/>
      <c r="F4517" s="19"/>
      <c r="G4517" s="19"/>
      <c r="N4517" s="19"/>
      <c r="P4517" s="19"/>
      <c r="AL4517" s="19"/>
    </row>
    <row r="4518" spans="1:38" s="11" customFormat="1" x14ac:dyDescent="0.25">
      <c r="A4518" s="3"/>
      <c r="F4518" s="19"/>
      <c r="G4518" s="19"/>
      <c r="N4518" s="19"/>
      <c r="P4518" s="19"/>
      <c r="AL4518" s="19"/>
    </row>
    <row r="4519" spans="1:38" s="11" customFormat="1" x14ac:dyDescent="0.25">
      <c r="A4519" s="3"/>
      <c r="F4519" s="19"/>
      <c r="G4519" s="19"/>
      <c r="N4519" s="19"/>
      <c r="P4519" s="19"/>
      <c r="AL4519" s="19"/>
    </row>
    <row r="4520" spans="1:38" s="11" customFormat="1" x14ac:dyDescent="0.25">
      <c r="A4520" s="3"/>
      <c r="F4520" s="19"/>
      <c r="G4520" s="19"/>
      <c r="N4520" s="19"/>
      <c r="P4520" s="19"/>
      <c r="AL4520" s="19"/>
    </row>
    <row r="4521" spans="1:38" s="11" customFormat="1" x14ac:dyDescent="0.25">
      <c r="A4521" s="3"/>
      <c r="F4521" s="19"/>
      <c r="G4521" s="19"/>
      <c r="N4521" s="19"/>
      <c r="P4521" s="19"/>
      <c r="AL4521" s="19"/>
    </row>
    <row r="4522" spans="1:38" s="11" customFormat="1" x14ac:dyDescent="0.25">
      <c r="A4522" s="3"/>
      <c r="F4522" s="19"/>
      <c r="G4522" s="19"/>
      <c r="N4522" s="19"/>
      <c r="P4522" s="19"/>
      <c r="AL4522" s="19"/>
    </row>
    <row r="4523" spans="1:38" s="11" customFormat="1" x14ac:dyDescent="0.25">
      <c r="A4523" s="3"/>
      <c r="F4523" s="19"/>
      <c r="G4523" s="19"/>
      <c r="N4523" s="19"/>
      <c r="P4523" s="19"/>
      <c r="AL4523" s="19"/>
    </row>
    <row r="4524" spans="1:38" s="11" customFormat="1" x14ac:dyDescent="0.25">
      <c r="A4524" s="3"/>
      <c r="F4524" s="19"/>
      <c r="G4524" s="19"/>
      <c r="N4524" s="19"/>
      <c r="P4524" s="19"/>
      <c r="AL4524" s="19"/>
    </row>
    <row r="4525" spans="1:38" s="11" customFormat="1" x14ac:dyDescent="0.25">
      <c r="A4525" s="3"/>
      <c r="F4525" s="19"/>
      <c r="G4525" s="19"/>
      <c r="N4525" s="19"/>
      <c r="P4525" s="19"/>
      <c r="AL4525" s="19"/>
    </row>
    <row r="4526" spans="1:38" s="11" customFormat="1" x14ac:dyDescent="0.25">
      <c r="A4526" s="3"/>
      <c r="F4526" s="19"/>
      <c r="G4526" s="19"/>
      <c r="N4526" s="19"/>
      <c r="P4526" s="19"/>
      <c r="AL4526" s="19"/>
    </row>
    <row r="4527" spans="1:38" s="11" customFormat="1" x14ac:dyDescent="0.25">
      <c r="A4527" s="3"/>
      <c r="F4527" s="19"/>
      <c r="G4527" s="19"/>
      <c r="N4527" s="19"/>
      <c r="P4527" s="19"/>
      <c r="AL4527" s="19"/>
    </row>
    <row r="4528" spans="1:38" s="11" customFormat="1" x14ac:dyDescent="0.25">
      <c r="A4528" s="3"/>
      <c r="F4528" s="19"/>
      <c r="G4528" s="19"/>
      <c r="N4528" s="19"/>
      <c r="P4528" s="19"/>
      <c r="AL4528" s="19"/>
    </row>
    <row r="4529" spans="1:38" s="11" customFormat="1" x14ac:dyDescent="0.25">
      <c r="A4529" s="3"/>
      <c r="F4529" s="19"/>
      <c r="G4529" s="19"/>
      <c r="N4529" s="19"/>
      <c r="P4529" s="19"/>
      <c r="AL4529" s="19"/>
    </row>
    <row r="4530" spans="1:38" s="11" customFormat="1" x14ac:dyDescent="0.25">
      <c r="A4530" s="3"/>
      <c r="F4530" s="19"/>
      <c r="G4530" s="19"/>
      <c r="N4530" s="19"/>
      <c r="P4530" s="19"/>
      <c r="AL4530" s="19"/>
    </row>
    <row r="4531" spans="1:38" s="11" customFormat="1" x14ac:dyDescent="0.25">
      <c r="A4531" s="3"/>
      <c r="F4531" s="19"/>
      <c r="G4531" s="19"/>
      <c r="N4531" s="19"/>
      <c r="P4531" s="19"/>
      <c r="AL4531" s="19"/>
    </row>
    <row r="4532" spans="1:38" s="11" customFormat="1" x14ac:dyDescent="0.25">
      <c r="A4532" s="3"/>
      <c r="F4532" s="19"/>
      <c r="G4532" s="19"/>
      <c r="N4532" s="19"/>
      <c r="P4532" s="19"/>
      <c r="AL4532" s="19"/>
    </row>
    <row r="4533" spans="1:38" s="11" customFormat="1" x14ac:dyDescent="0.25">
      <c r="A4533" s="3"/>
      <c r="F4533" s="19"/>
      <c r="G4533" s="19"/>
      <c r="N4533" s="19"/>
      <c r="P4533" s="19"/>
      <c r="AL4533" s="19"/>
    </row>
    <row r="4534" spans="1:38" s="11" customFormat="1" x14ac:dyDescent="0.25">
      <c r="A4534" s="3"/>
      <c r="F4534" s="19"/>
      <c r="G4534" s="19"/>
      <c r="N4534" s="19"/>
      <c r="P4534" s="19"/>
      <c r="AL4534" s="19"/>
    </row>
    <row r="4535" spans="1:38" s="11" customFormat="1" x14ac:dyDescent="0.25">
      <c r="A4535" s="3"/>
      <c r="F4535" s="19"/>
      <c r="G4535" s="19"/>
      <c r="N4535" s="19"/>
      <c r="P4535" s="19"/>
      <c r="AL4535" s="19"/>
    </row>
    <row r="4536" spans="1:38" s="11" customFormat="1" x14ac:dyDescent="0.25">
      <c r="A4536" s="3"/>
      <c r="F4536" s="19"/>
      <c r="G4536" s="19"/>
      <c r="N4536" s="19"/>
      <c r="P4536" s="19"/>
      <c r="AL4536" s="19"/>
    </row>
    <row r="4537" spans="1:38" s="11" customFormat="1" x14ac:dyDescent="0.25">
      <c r="A4537" s="3"/>
      <c r="F4537" s="19"/>
      <c r="G4537" s="19"/>
      <c r="N4537" s="19"/>
      <c r="P4537" s="19"/>
      <c r="AL4537" s="19"/>
    </row>
    <row r="4538" spans="1:38" s="11" customFormat="1" x14ac:dyDescent="0.25">
      <c r="A4538" s="3"/>
      <c r="F4538" s="19"/>
      <c r="G4538" s="19"/>
      <c r="N4538" s="19"/>
      <c r="P4538" s="19"/>
      <c r="AL4538" s="19"/>
    </row>
    <row r="4539" spans="1:38" s="11" customFormat="1" x14ac:dyDescent="0.25">
      <c r="A4539" s="3"/>
      <c r="F4539" s="19"/>
      <c r="G4539" s="19"/>
      <c r="N4539" s="19"/>
      <c r="P4539" s="19"/>
      <c r="AL4539" s="19"/>
    </row>
    <row r="4540" spans="1:38" s="11" customFormat="1" x14ac:dyDescent="0.25">
      <c r="A4540" s="3"/>
      <c r="F4540" s="19"/>
      <c r="G4540" s="19"/>
      <c r="N4540" s="19"/>
      <c r="P4540" s="19"/>
      <c r="AL4540" s="19"/>
    </row>
    <row r="4541" spans="1:38" s="11" customFormat="1" x14ac:dyDescent="0.25">
      <c r="A4541" s="3"/>
      <c r="F4541" s="19"/>
      <c r="G4541" s="19"/>
      <c r="N4541" s="19"/>
      <c r="P4541" s="19"/>
      <c r="AL4541" s="19"/>
    </row>
    <row r="4542" spans="1:38" s="11" customFormat="1" x14ac:dyDescent="0.25">
      <c r="A4542" s="3"/>
      <c r="F4542" s="19"/>
      <c r="G4542" s="19"/>
      <c r="N4542" s="19"/>
      <c r="P4542" s="19"/>
      <c r="AL4542" s="19"/>
    </row>
    <row r="4543" spans="1:38" s="11" customFormat="1" x14ac:dyDescent="0.25">
      <c r="A4543" s="3"/>
      <c r="F4543" s="19"/>
      <c r="G4543" s="19"/>
      <c r="N4543" s="19"/>
      <c r="P4543" s="19"/>
      <c r="AL4543" s="19"/>
    </row>
    <row r="4544" spans="1:38" s="11" customFormat="1" x14ac:dyDescent="0.25">
      <c r="A4544" s="3"/>
      <c r="F4544" s="19"/>
      <c r="G4544" s="19"/>
      <c r="N4544" s="19"/>
      <c r="P4544" s="19"/>
      <c r="AL4544" s="19"/>
    </row>
    <row r="4545" spans="1:38" s="11" customFormat="1" x14ac:dyDescent="0.25">
      <c r="A4545" s="3"/>
      <c r="F4545" s="19"/>
      <c r="G4545" s="19"/>
      <c r="N4545" s="19"/>
      <c r="P4545" s="19"/>
      <c r="AL4545" s="19"/>
    </row>
    <row r="4546" spans="1:38" s="11" customFormat="1" x14ac:dyDescent="0.25">
      <c r="A4546" s="3"/>
      <c r="F4546" s="19"/>
      <c r="G4546" s="19"/>
      <c r="N4546" s="19"/>
      <c r="P4546" s="19"/>
      <c r="AL4546" s="19"/>
    </row>
    <row r="4547" spans="1:38" s="11" customFormat="1" x14ac:dyDescent="0.25">
      <c r="A4547" s="3"/>
      <c r="F4547" s="19"/>
      <c r="G4547" s="19"/>
      <c r="N4547" s="19"/>
      <c r="P4547" s="19"/>
      <c r="AL4547" s="19"/>
    </row>
    <row r="4548" spans="1:38" s="11" customFormat="1" x14ac:dyDescent="0.25">
      <c r="A4548" s="3"/>
      <c r="F4548" s="19"/>
      <c r="G4548" s="19"/>
      <c r="N4548" s="19"/>
      <c r="P4548" s="19"/>
      <c r="AL4548" s="19"/>
    </row>
    <row r="4549" spans="1:38" s="11" customFormat="1" x14ac:dyDescent="0.25">
      <c r="A4549" s="3"/>
      <c r="F4549" s="19"/>
      <c r="G4549" s="19"/>
      <c r="N4549" s="19"/>
      <c r="P4549" s="19"/>
      <c r="AL4549" s="19"/>
    </row>
    <row r="4550" spans="1:38" s="11" customFormat="1" x14ac:dyDescent="0.25">
      <c r="A4550" s="3"/>
      <c r="F4550" s="19"/>
      <c r="G4550" s="19"/>
      <c r="N4550" s="19"/>
      <c r="P4550" s="19"/>
      <c r="AL4550" s="19"/>
    </row>
    <row r="4551" spans="1:38" s="11" customFormat="1" x14ac:dyDescent="0.25">
      <c r="A4551" s="3"/>
      <c r="F4551" s="19"/>
      <c r="G4551" s="19"/>
      <c r="N4551" s="19"/>
      <c r="P4551" s="19"/>
      <c r="AL4551" s="19"/>
    </row>
    <row r="4552" spans="1:38" s="11" customFormat="1" x14ac:dyDescent="0.25">
      <c r="A4552" s="3"/>
      <c r="F4552" s="19"/>
      <c r="G4552" s="19"/>
      <c r="N4552" s="19"/>
      <c r="P4552" s="19"/>
      <c r="AL4552" s="19"/>
    </row>
    <row r="4553" spans="1:38" s="11" customFormat="1" x14ac:dyDescent="0.25">
      <c r="A4553" s="3"/>
      <c r="F4553" s="19"/>
      <c r="G4553" s="19"/>
      <c r="N4553" s="19"/>
      <c r="P4553" s="19"/>
      <c r="AL4553" s="19"/>
    </row>
    <row r="4554" spans="1:38" s="11" customFormat="1" x14ac:dyDescent="0.25">
      <c r="A4554" s="3"/>
      <c r="F4554" s="19"/>
      <c r="G4554" s="19"/>
      <c r="N4554" s="19"/>
      <c r="P4554" s="19"/>
      <c r="AL4554" s="19"/>
    </row>
    <row r="4555" spans="1:38" s="11" customFormat="1" x14ac:dyDescent="0.25">
      <c r="A4555" s="3"/>
      <c r="F4555" s="19"/>
      <c r="G4555" s="19"/>
      <c r="N4555" s="19"/>
      <c r="P4555" s="19"/>
      <c r="AL4555" s="19"/>
    </row>
    <row r="4556" spans="1:38" s="11" customFormat="1" x14ac:dyDescent="0.25">
      <c r="A4556" s="3"/>
      <c r="F4556" s="19"/>
      <c r="G4556" s="19"/>
      <c r="N4556" s="19"/>
      <c r="P4556" s="19"/>
      <c r="AL4556" s="19"/>
    </row>
    <row r="4557" spans="1:38" s="11" customFormat="1" x14ac:dyDescent="0.25">
      <c r="A4557" s="3"/>
      <c r="F4557" s="19"/>
      <c r="G4557" s="19"/>
      <c r="N4557" s="19"/>
      <c r="P4557" s="19"/>
      <c r="AL4557" s="19"/>
    </row>
    <row r="4558" spans="1:38" s="11" customFormat="1" x14ac:dyDescent="0.25">
      <c r="A4558" s="3"/>
      <c r="F4558" s="19"/>
      <c r="G4558" s="19"/>
      <c r="N4558" s="19"/>
      <c r="P4558" s="19"/>
      <c r="AL4558" s="19"/>
    </row>
    <row r="4559" spans="1:38" s="11" customFormat="1" x14ac:dyDescent="0.25">
      <c r="A4559" s="3"/>
      <c r="F4559" s="19"/>
      <c r="G4559" s="19"/>
      <c r="N4559" s="19"/>
      <c r="P4559" s="19"/>
      <c r="AL4559" s="19"/>
    </row>
    <row r="4560" spans="1:38" s="11" customFormat="1" x14ac:dyDescent="0.25">
      <c r="A4560" s="3"/>
      <c r="F4560" s="19"/>
      <c r="G4560" s="19"/>
      <c r="N4560" s="19"/>
      <c r="P4560" s="19"/>
      <c r="AL4560" s="19"/>
    </row>
    <row r="4561" spans="1:38" s="11" customFormat="1" x14ac:dyDescent="0.25">
      <c r="A4561" s="3"/>
      <c r="F4561" s="19"/>
      <c r="G4561" s="19"/>
      <c r="N4561" s="19"/>
      <c r="P4561" s="19"/>
      <c r="AL4561" s="19"/>
    </row>
    <row r="4562" spans="1:38" s="11" customFormat="1" x14ac:dyDescent="0.25">
      <c r="A4562" s="3"/>
      <c r="F4562" s="19"/>
      <c r="G4562" s="19"/>
      <c r="N4562" s="19"/>
      <c r="P4562" s="19"/>
      <c r="AL4562" s="19"/>
    </row>
    <row r="4563" spans="1:38" s="11" customFormat="1" x14ac:dyDescent="0.25">
      <c r="A4563" s="3"/>
      <c r="F4563" s="19"/>
      <c r="G4563" s="19"/>
      <c r="N4563" s="19"/>
      <c r="P4563" s="19"/>
      <c r="AL4563" s="19"/>
    </row>
    <row r="4564" spans="1:38" s="11" customFormat="1" x14ac:dyDescent="0.25">
      <c r="A4564" s="3"/>
      <c r="F4564" s="19"/>
      <c r="G4564" s="19"/>
      <c r="N4564" s="19"/>
      <c r="P4564" s="19"/>
      <c r="AL4564" s="19"/>
    </row>
    <row r="4565" spans="1:38" s="11" customFormat="1" x14ac:dyDescent="0.25">
      <c r="A4565" s="3"/>
      <c r="F4565" s="19"/>
      <c r="G4565" s="19"/>
      <c r="N4565" s="19"/>
      <c r="P4565" s="19"/>
      <c r="AL4565" s="19"/>
    </row>
    <row r="4566" spans="1:38" s="11" customFormat="1" x14ac:dyDescent="0.25">
      <c r="A4566" s="3"/>
      <c r="F4566" s="19"/>
      <c r="G4566" s="19"/>
      <c r="N4566" s="19"/>
      <c r="P4566" s="19"/>
      <c r="AL4566" s="19"/>
    </row>
    <row r="4567" spans="1:38" s="11" customFormat="1" x14ac:dyDescent="0.25">
      <c r="A4567" s="3"/>
      <c r="F4567" s="19"/>
      <c r="G4567" s="19"/>
      <c r="N4567" s="19"/>
      <c r="P4567" s="19"/>
      <c r="AL4567" s="19"/>
    </row>
    <row r="4568" spans="1:38" s="11" customFormat="1" x14ac:dyDescent="0.25">
      <c r="A4568" s="3"/>
      <c r="F4568" s="19"/>
      <c r="G4568" s="19"/>
      <c r="N4568" s="19"/>
      <c r="P4568" s="19"/>
      <c r="AL4568" s="19"/>
    </row>
    <row r="4569" spans="1:38" s="11" customFormat="1" x14ac:dyDescent="0.25">
      <c r="A4569" s="3"/>
      <c r="F4569" s="19"/>
      <c r="G4569" s="19"/>
      <c r="N4569" s="19"/>
      <c r="P4569" s="19"/>
      <c r="AL4569" s="19"/>
    </row>
    <row r="4570" spans="1:38" s="11" customFormat="1" x14ac:dyDescent="0.25">
      <c r="A4570" s="3"/>
      <c r="F4570" s="19"/>
      <c r="G4570" s="19"/>
      <c r="N4570" s="19"/>
      <c r="P4570" s="19"/>
      <c r="AL4570" s="19"/>
    </row>
    <row r="4571" spans="1:38" s="11" customFormat="1" x14ac:dyDescent="0.25">
      <c r="A4571" s="3"/>
      <c r="F4571" s="19"/>
      <c r="G4571" s="19"/>
      <c r="N4571" s="19"/>
      <c r="P4571" s="19"/>
      <c r="AL4571" s="19"/>
    </row>
    <row r="4572" spans="1:38" s="11" customFormat="1" x14ac:dyDescent="0.25">
      <c r="A4572" s="3"/>
      <c r="F4572" s="19"/>
      <c r="G4572" s="19"/>
      <c r="N4572" s="19"/>
      <c r="P4572" s="19"/>
      <c r="AL4572" s="19"/>
    </row>
    <row r="4573" spans="1:38" s="11" customFormat="1" x14ac:dyDescent="0.25">
      <c r="A4573" s="3"/>
      <c r="F4573" s="19"/>
      <c r="G4573" s="19"/>
      <c r="N4573" s="19"/>
      <c r="P4573" s="19"/>
      <c r="AL4573" s="19"/>
    </row>
    <row r="4574" spans="1:38" s="11" customFormat="1" x14ac:dyDescent="0.25">
      <c r="A4574" s="3"/>
      <c r="F4574" s="19"/>
      <c r="G4574" s="19"/>
      <c r="N4574" s="19"/>
      <c r="P4574" s="19"/>
      <c r="AL4574" s="19"/>
    </row>
    <row r="4575" spans="1:38" s="11" customFormat="1" x14ac:dyDescent="0.25">
      <c r="A4575" s="3"/>
      <c r="F4575" s="19"/>
      <c r="G4575" s="19"/>
      <c r="N4575" s="19"/>
      <c r="P4575" s="19"/>
      <c r="AL4575" s="19"/>
    </row>
    <row r="4576" spans="1:38" s="11" customFormat="1" x14ac:dyDescent="0.25">
      <c r="A4576" s="3"/>
      <c r="F4576" s="19"/>
      <c r="G4576" s="19"/>
      <c r="N4576" s="19"/>
      <c r="P4576" s="19"/>
      <c r="AL4576" s="19"/>
    </row>
    <row r="4577" spans="1:38" s="11" customFormat="1" x14ac:dyDescent="0.25">
      <c r="A4577" s="3"/>
      <c r="F4577" s="19"/>
      <c r="G4577" s="19"/>
      <c r="N4577" s="19"/>
      <c r="P4577" s="19"/>
      <c r="AL4577" s="19"/>
    </row>
    <row r="4578" spans="1:38" s="11" customFormat="1" x14ac:dyDescent="0.25">
      <c r="A4578" s="3"/>
      <c r="F4578" s="19"/>
      <c r="G4578" s="19"/>
      <c r="N4578" s="19"/>
      <c r="P4578" s="19"/>
      <c r="AL4578" s="19"/>
    </row>
    <row r="4579" spans="1:38" s="11" customFormat="1" x14ac:dyDescent="0.25">
      <c r="A4579" s="3"/>
      <c r="F4579" s="19"/>
      <c r="G4579" s="19"/>
      <c r="N4579" s="19"/>
      <c r="P4579" s="19"/>
      <c r="AL4579" s="19"/>
    </row>
    <row r="4580" spans="1:38" s="11" customFormat="1" x14ac:dyDescent="0.25">
      <c r="A4580" s="3"/>
      <c r="F4580" s="19"/>
      <c r="G4580" s="19"/>
      <c r="N4580" s="19"/>
      <c r="P4580" s="19"/>
      <c r="AL4580" s="19"/>
    </row>
    <row r="4581" spans="1:38" s="11" customFormat="1" x14ac:dyDescent="0.25">
      <c r="A4581" s="3"/>
      <c r="F4581" s="19"/>
      <c r="G4581" s="19"/>
      <c r="N4581" s="19"/>
      <c r="P4581" s="19"/>
      <c r="AL4581" s="19"/>
    </row>
    <row r="4582" spans="1:38" s="11" customFormat="1" x14ac:dyDescent="0.25">
      <c r="A4582" s="3"/>
      <c r="F4582" s="19"/>
      <c r="G4582" s="19"/>
      <c r="N4582" s="19"/>
      <c r="P4582" s="19"/>
      <c r="AL4582" s="19"/>
    </row>
    <row r="4583" spans="1:38" s="11" customFormat="1" x14ac:dyDescent="0.25">
      <c r="A4583" s="3"/>
      <c r="F4583" s="19"/>
      <c r="G4583" s="19"/>
      <c r="N4583" s="19"/>
      <c r="P4583" s="19"/>
      <c r="AL4583" s="19"/>
    </row>
    <row r="4584" spans="1:38" s="11" customFormat="1" x14ac:dyDescent="0.25">
      <c r="A4584" s="3"/>
      <c r="F4584" s="19"/>
      <c r="G4584" s="19"/>
      <c r="N4584" s="19"/>
      <c r="P4584" s="19"/>
      <c r="AL4584" s="19"/>
    </row>
    <row r="4585" spans="1:38" s="11" customFormat="1" x14ac:dyDescent="0.25">
      <c r="A4585" s="3"/>
      <c r="F4585" s="19"/>
      <c r="G4585" s="19"/>
      <c r="N4585" s="19"/>
      <c r="P4585" s="19"/>
      <c r="AL4585" s="19"/>
    </row>
    <row r="4586" spans="1:38" s="11" customFormat="1" x14ac:dyDescent="0.25">
      <c r="A4586" s="3"/>
      <c r="F4586" s="19"/>
      <c r="G4586" s="19"/>
      <c r="N4586" s="19"/>
      <c r="P4586" s="19"/>
      <c r="AL4586" s="19"/>
    </row>
    <row r="4587" spans="1:38" s="11" customFormat="1" x14ac:dyDescent="0.25">
      <c r="A4587" s="3"/>
      <c r="F4587" s="19"/>
      <c r="G4587" s="19"/>
      <c r="N4587" s="19"/>
      <c r="P4587" s="19"/>
      <c r="AL4587" s="19"/>
    </row>
    <row r="4588" spans="1:38" s="11" customFormat="1" x14ac:dyDescent="0.25">
      <c r="A4588" s="3"/>
      <c r="F4588" s="19"/>
      <c r="G4588" s="19"/>
      <c r="N4588" s="19"/>
      <c r="P4588" s="19"/>
      <c r="AL4588" s="19"/>
    </row>
    <row r="4589" spans="1:38" s="11" customFormat="1" x14ac:dyDescent="0.25">
      <c r="A4589" s="3"/>
      <c r="F4589" s="19"/>
      <c r="G4589" s="19"/>
      <c r="N4589" s="19"/>
      <c r="P4589" s="19"/>
      <c r="AL4589" s="19"/>
    </row>
    <row r="4590" spans="1:38" s="11" customFormat="1" x14ac:dyDescent="0.25">
      <c r="A4590" s="3"/>
      <c r="F4590" s="19"/>
      <c r="G4590" s="19"/>
      <c r="N4590" s="19"/>
      <c r="P4590" s="19"/>
      <c r="AL4590" s="19"/>
    </row>
    <row r="4591" spans="1:38" s="11" customFormat="1" x14ac:dyDescent="0.25">
      <c r="A4591" s="3"/>
      <c r="F4591" s="19"/>
      <c r="G4591" s="19"/>
      <c r="N4591" s="19"/>
      <c r="P4591" s="19"/>
      <c r="AL4591" s="19"/>
    </row>
    <row r="4592" spans="1:38" s="11" customFormat="1" x14ac:dyDescent="0.25">
      <c r="A4592" s="3"/>
      <c r="F4592" s="19"/>
      <c r="G4592" s="19"/>
      <c r="N4592" s="19"/>
      <c r="P4592" s="19"/>
      <c r="AL4592" s="19"/>
    </row>
    <row r="4593" spans="1:38" s="11" customFormat="1" x14ac:dyDescent="0.25">
      <c r="A4593" s="3"/>
      <c r="F4593" s="19"/>
      <c r="G4593" s="19"/>
      <c r="N4593" s="19"/>
      <c r="P4593" s="19"/>
      <c r="AL4593" s="19"/>
    </row>
    <row r="4594" spans="1:38" s="11" customFormat="1" x14ac:dyDescent="0.25">
      <c r="A4594" s="3"/>
      <c r="F4594" s="19"/>
      <c r="G4594" s="19"/>
      <c r="N4594" s="19"/>
      <c r="P4594" s="19"/>
      <c r="AL4594" s="19"/>
    </row>
    <row r="4595" spans="1:38" s="11" customFormat="1" x14ac:dyDescent="0.25">
      <c r="A4595" s="3"/>
      <c r="F4595" s="19"/>
      <c r="G4595" s="19"/>
      <c r="N4595" s="19"/>
      <c r="P4595" s="19"/>
      <c r="AL4595" s="19"/>
    </row>
    <row r="4596" spans="1:38" s="11" customFormat="1" x14ac:dyDescent="0.25">
      <c r="A4596" s="3"/>
      <c r="F4596" s="19"/>
      <c r="G4596" s="19"/>
      <c r="N4596" s="19"/>
      <c r="P4596" s="19"/>
      <c r="AL4596" s="19"/>
    </row>
    <row r="4597" spans="1:38" s="11" customFormat="1" x14ac:dyDescent="0.25">
      <c r="A4597" s="3"/>
      <c r="F4597" s="19"/>
      <c r="G4597" s="19"/>
      <c r="N4597" s="19"/>
      <c r="P4597" s="19"/>
      <c r="AL4597" s="19"/>
    </row>
    <row r="4598" spans="1:38" s="11" customFormat="1" x14ac:dyDescent="0.25">
      <c r="A4598" s="3"/>
      <c r="F4598" s="19"/>
      <c r="G4598" s="19"/>
      <c r="N4598" s="19"/>
      <c r="P4598" s="19"/>
      <c r="AL4598" s="19"/>
    </row>
    <row r="4599" spans="1:38" s="11" customFormat="1" x14ac:dyDescent="0.25">
      <c r="A4599" s="3"/>
      <c r="F4599" s="19"/>
      <c r="G4599" s="19"/>
      <c r="N4599" s="19"/>
      <c r="P4599" s="19"/>
      <c r="AL4599" s="19"/>
    </row>
    <row r="4600" spans="1:38" s="11" customFormat="1" x14ac:dyDescent="0.25">
      <c r="A4600" s="3"/>
      <c r="F4600" s="19"/>
      <c r="G4600" s="19"/>
      <c r="N4600" s="19"/>
      <c r="P4600" s="19"/>
      <c r="AL4600" s="19"/>
    </row>
    <row r="4601" spans="1:38" s="11" customFormat="1" x14ac:dyDescent="0.25">
      <c r="A4601" s="3"/>
      <c r="F4601" s="19"/>
      <c r="G4601" s="19"/>
      <c r="N4601" s="19"/>
      <c r="P4601" s="19"/>
      <c r="AL4601" s="19"/>
    </row>
    <row r="4602" spans="1:38" s="11" customFormat="1" x14ac:dyDescent="0.25">
      <c r="A4602" s="3"/>
      <c r="F4602" s="19"/>
      <c r="G4602" s="19"/>
      <c r="N4602" s="19"/>
      <c r="P4602" s="19"/>
      <c r="AL4602" s="19"/>
    </row>
    <row r="4603" spans="1:38" s="11" customFormat="1" x14ac:dyDescent="0.25">
      <c r="A4603" s="3"/>
      <c r="F4603" s="19"/>
      <c r="G4603" s="19"/>
      <c r="N4603" s="19"/>
      <c r="P4603" s="19"/>
      <c r="AL4603" s="19"/>
    </row>
    <row r="4604" spans="1:38" s="11" customFormat="1" x14ac:dyDescent="0.25">
      <c r="A4604" s="3"/>
      <c r="F4604" s="19"/>
      <c r="G4604" s="19"/>
      <c r="N4604" s="19"/>
      <c r="P4604" s="19"/>
      <c r="AL4604" s="19"/>
    </row>
    <row r="4605" spans="1:38" s="11" customFormat="1" x14ac:dyDescent="0.25">
      <c r="A4605" s="3"/>
      <c r="F4605" s="19"/>
      <c r="G4605" s="19"/>
      <c r="N4605" s="19"/>
      <c r="P4605" s="19"/>
      <c r="AL4605" s="19"/>
    </row>
    <row r="4606" spans="1:38" s="11" customFormat="1" x14ac:dyDescent="0.25">
      <c r="A4606" s="3"/>
      <c r="F4606" s="19"/>
      <c r="G4606" s="19"/>
      <c r="N4606" s="19"/>
      <c r="P4606" s="19"/>
      <c r="AL4606" s="19"/>
    </row>
    <row r="4607" spans="1:38" s="11" customFormat="1" x14ac:dyDescent="0.25">
      <c r="A4607" s="3"/>
      <c r="F4607" s="19"/>
      <c r="G4607" s="19"/>
      <c r="N4607" s="19"/>
      <c r="P4607" s="19"/>
      <c r="AL4607" s="19"/>
    </row>
    <row r="4608" spans="1:38" s="11" customFormat="1" x14ac:dyDescent="0.25">
      <c r="A4608" s="3"/>
      <c r="F4608" s="19"/>
      <c r="G4608" s="19"/>
      <c r="N4608" s="19"/>
      <c r="P4608" s="19"/>
      <c r="AL4608" s="19"/>
    </row>
    <row r="4609" spans="1:38" s="11" customFormat="1" x14ac:dyDescent="0.25">
      <c r="A4609" s="3"/>
      <c r="F4609" s="19"/>
      <c r="G4609" s="19"/>
      <c r="N4609" s="19"/>
      <c r="P4609" s="19"/>
      <c r="AL4609" s="19"/>
    </row>
    <row r="4610" spans="1:38" s="11" customFormat="1" x14ac:dyDescent="0.25">
      <c r="A4610" s="3"/>
      <c r="F4610" s="19"/>
      <c r="G4610" s="19"/>
      <c r="N4610" s="19"/>
      <c r="P4610" s="19"/>
      <c r="AL4610" s="19"/>
    </row>
    <row r="4611" spans="1:38" s="11" customFormat="1" x14ac:dyDescent="0.25">
      <c r="A4611" s="3"/>
      <c r="F4611" s="19"/>
      <c r="G4611" s="19"/>
      <c r="N4611" s="19"/>
      <c r="P4611" s="19"/>
      <c r="AL4611" s="19"/>
    </row>
    <row r="4612" spans="1:38" s="11" customFormat="1" x14ac:dyDescent="0.25">
      <c r="A4612" s="3"/>
      <c r="F4612" s="19"/>
      <c r="G4612" s="19"/>
      <c r="N4612" s="19"/>
      <c r="P4612" s="19"/>
      <c r="AL4612" s="19"/>
    </row>
    <row r="4613" spans="1:38" s="11" customFormat="1" x14ac:dyDescent="0.25">
      <c r="A4613" s="3"/>
      <c r="F4613" s="19"/>
      <c r="G4613" s="19"/>
      <c r="N4613" s="19"/>
      <c r="P4613" s="19"/>
      <c r="AL4613" s="19"/>
    </row>
    <row r="4614" spans="1:38" s="11" customFormat="1" x14ac:dyDescent="0.25">
      <c r="A4614" s="3"/>
      <c r="F4614" s="19"/>
      <c r="G4614" s="19"/>
      <c r="N4614" s="19"/>
      <c r="P4614" s="19"/>
      <c r="AL4614" s="19"/>
    </row>
    <row r="4615" spans="1:38" s="11" customFormat="1" x14ac:dyDescent="0.25">
      <c r="A4615" s="3"/>
      <c r="F4615" s="19"/>
      <c r="G4615" s="19"/>
      <c r="N4615" s="19"/>
      <c r="P4615" s="19"/>
      <c r="AL4615" s="19"/>
    </row>
    <row r="4616" spans="1:38" s="11" customFormat="1" x14ac:dyDescent="0.25">
      <c r="A4616" s="3"/>
      <c r="F4616" s="19"/>
      <c r="G4616" s="19"/>
      <c r="N4616" s="19"/>
      <c r="P4616" s="19"/>
      <c r="AL4616" s="19"/>
    </row>
    <row r="4617" spans="1:38" s="11" customFormat="1" x14ac:dyDescent="0.25">
      <c r="A4617" s="3"/>
      <c r="F4617" s="19"/>
      <c r="G4617" s="19"/>
      <c r="N4617" s="19"/>
      <c r="P4617" s="19"/>
      <c r="AL4617" s="19"/>
    </row>
    <row r="4618" spans="1:38" s="11" customFormat="1" x14ac:dyDescent="0.25">
      <c r="A4618" s="3"/>
      <c r="F4618" s="19"/>
      <c r="G4618" s="19"/>
      <c r="N4618" s="19"/>
      <c r="P4618" s="19"/>
      <c r="AL4618" s="19"/>
    </row>
    <row r="4619" spans="1:38" s="11" customFormat="1" x14ac:dyDescent="0.25">
      <c r="A4619" s="3"/>
      <c r="F4619" s="19"/>
      <c r="G4619" s="19"/>
      <c r="N4619" s="19"/>
      <c r="P4619" s="19"/>
      <c r="AL4619" s="19"/>
    </row>
    <row r="4620" spans="1:38" s="11" customFormat="1" x14ac:dyDescent="0.25">
      <c r="A4620" s="3"/>
      <c r="F4620" s="19"/>
      <c r="G4620" s="19"/>
      <c r="N4620" s="19"/>
      <c r="P4620" s="19"/>
      <c r="AL4620" s="19"/>
    </row>
    <row r="4621" spans="1:38" s="11" customFormat="1" x14ac:dyDescent="0.25">
      <c r="A4621" s="3"/>
      <c r="F4621" s="19"/>
      <c r="G4621" s="19"/>
      <c r="N4621" s="19"/>
      <c r="P4621" s="19"/>
      <c r="AL4621" s="19"/>
    </row>
    <row r="4622" spans="1:38" s="11" customFormat="1" x14ac:dyDescent="0.25">
      <c r="A4622" s="3"/>
      <c r="F4622" s="19"/>
      <c r="G4622" s="19"/>
      <c r="N4622" s="19"/>
      <c r="P4622" s="19"/>
      <c r="AL4622" s="19"/>
    </row>
    <row r="4623" spans="1:38" s="11" customFormat="1" x14ac:dyDescent="0.25">
      <c r="A4623" s="3"/>
      <c r="F4623" s="19"/>
      <c r="G4623" s="19"/>
      <c r="N4623" s="19"/>
      <c r="P4623" s="19"/>
      <c r="AL4623" s="19"/>
    </row>
    <row r="4624" spans="1:38" s="11" customFormat="1" x14ac:dyDescent="0.25">
      <c r="A4624" s="3"/>
      <c r="F4624" s="19"/>
      <c r="G4624" s="19"/>
      <c r="N4624" s="19"/>
      <c r="P4624" s="19"/>
      <c r="AL4624" s="19"/>
    </row>
    <row r="4625" spans="1:38" s="11" customFormat="1" x14ac:dyDescent="0.25">
      <c r="A4625" s="3"/>
      <c r="F4625" s="19"/>
      <c r="G4625" s="19"/>
      <c r="N4625" s="19"/>
      <c r="P4625" s="19"/>
      <c r="AL4625" s="19"/>
    </row>
    <row r="4626" spans="1:38" s="11" customFormat="1" x14ac:dyDescent="0.25">
      <c r="A4626" s="3"/>
      <c r="F4626" s="19"/>
      <c r="G4626" s="19"/>
      <c r="N4626" s="19"/>
      <c r="P4626" s="19"/>
      <c r="AL4626" s="19"/>
    </row>
    <row r="4627" spans="1:38" s="11" customFormat="1" x14ac:dyDescent="0.25">
      <c r="A4627" s="3"/>
      <c r="F4627" s="19"/>
      <c r="G4627" s="19"/>
      <c r="N4627" s="19"/>
      <c r="P4627" s="19"/>
      <c r="AL4627" s="19"/>
    </row>
    <row r="4628" spans="1:38" s="11" customFormat="1" x14ac:dyDescent="0.25">
      <c r="A4628" s="3"/>
      <c r="F4628" s="19"/>
      <c r="G4628" s="19"/>
      <c r="N4628" s="19"/>
      <c r="P4628" s="19"/>
      <c r="AL4628" s="19"/>
    </row>
    <row r="4629" spans="1:38" s="11" customFormat="1" x14ac:dyDescent="0.25">
      <c r="A4629" s="3"/>
      <c r="F4629" s="19"/>
      <c r="G4629" s="19"/>
      <c r="N4629" s="19"/>
      <c r="P4629" s="19"/>
      <c r="AL4629" s="19"/>
    </row>
    <row r="4630" spans="1:38" s="11" customFormat="1" x14ac:dyDescent="0.25">
      <c r="A4630" s="3"/>
      <c r="F4630" s="19"/>
      <c r="G4630" s="19"/>
      <c r="N4630" s="19"/>
      <c r="P4630" s="19"/>
      <c r="AL4630" s="19"/>
    </row>
    <row r="4631" spans="1:38" s="11" customFormat="1" x14ac:dyDescent="0.25">
      <c r="A4631" s="3"/>
      <c r="F4631" s="19"/>
      <c r="G4631" s="19"/>
      <c r="N4631" s="19"/>
      <c r="P4631" s="19"/>
      <c r="AL4631" s="19"/>
    </row>
    <row r="4632" spans="1:38" s="11" customFormat="1" x14ac:dyDescent="0.25">
      <c r="A4632" s="3"/>
      <c r="F4632" s="19"/>
      <c r="G4632" s="19"/>
      <c r="N4632" s="19"/>
      <c r="P4632" s="19"/>
      <c r="AL4632" s="19"/>
    </row>
    <row r="4633" spans="1:38" s="11" customFormat="1" x14ac:dyDescent="0.25">
      <c r="A4633" s="3"/>
      <c r="F4633" s="19"/>
      <c r="G4633" s="19"/>
      <c r="N4633" s="19"/>
      <c r="P4633" s="19"/>
      <c r="AL4633" s="19"/>
    </row>
    <row r="4634" spans="1:38" s="11" customFormat="1" x14ac:dyDescent="0.25">
      <c r="A4634" s="3"/>
      <c r="F4634" s="19"/>
      <c r="G4634" s="19"/>
      <c r="N4634" s="19"/>
      <c r="P4634" s="19"/>
      <c r="AL4634" s="19"/>
    </row>
    <row r="4635" spans="1:38" s="11" customFormat="1" x14ac:dyDescent="0.25">
      <c r="A4635" s="3"/>
      <c r="F4635" s="19"/>
      <c r="G4635" s="19"/>
      <c r="N4635" s="19"/>
      <c r="P4635" s="19"/>
      <c r="AL4635" s="19"/>
    </row>
    <row r="4636" spans="1:38" s="11" customFormat="1" x14ac:dyDescent="0.25">
      <c r="A4636" s="3"/>
      <c r="F4636" s="19"/>
      <c r="G4636" s="19"/>
      <c r="N4636" s="19"/>
      <c r="P4636" s="19"/>
      <c r="AL4636" s="19"/>
    </row>
    <row r="4637" spans="1:38" s="11" customFormat="1" x14ac:dyDescent="0.25">
      <c r="A4637" s="3"/>
      <c r="F4637" s="19"/>
      <c r="G4637" s="19"/>
      <c r="N4637" s="19"/>
      <c r="P4637" s="19"/>
      <c r="AL4637" s="19"/>
    </row>
    <row r="4638" spans="1:38" s="11" customFormat="1" x14ac:dyDescent="0.25">
      <c r="A4638" s="3"/>
      <c r="F4638" s="19"/>
      <c r="G4638" s="19"/>
      <c r="N4638" s="19"/>
      <c r="P4638" s="19"/>
      <c r="AL4638" s="19"/>
    </row>
    <row r="4639" spans="1:38" s="11" customFormat="1" x14ac:dyDescent="0.25">
      <c r="A4639" s="3"/>
      <c r="F4639" s="19"/>
      <c r="G4639" s="19"/>
      <c r="N4639" s="19"/>
      <c r="P4639" s="19"/>
      <c r="AL4639" s="19"/>
    </row>
    <row r="4640" spans="1:38" s="11" customFormat="1" x14ac:dyDescent="0.25">
      <c r="A4640" s="3"/>
      <c r="F4640" s="19"/>
      <c r="G4640" s="19"/>
      <c r="N4640" s="19"/>
      <c r="P4640" s="19"/>
      <c r="AL4640" s="19"/>
    </row>
    <row r="4641" spans="1:38" s="11" customFormat="1" x14ac:dyDescent="0.25">
      <c r="A4641" s="3"/>
      <c r="F4641" s="19"/>
      <c r="G4641" s="19"/>
      <c r="N4641" s="19"/>
      <c r="P4641" s="19"/>
      <c r="AL4641" s="19"/>
    </row>
    <row r="4642" spans="1:38" s="11" customFormat="1" x14ac:dyDescent="0.25">
      <c r="A4642" s="3"/>
      <c r="F4642" s="19"/>
      <c r="G4642" s="19"/>
      <c r="N4642" s="19"/>
      <c r="P4642" s="19"/>
      <c r="AL4642" s="19"/>
    </row>
    <row r="4643" spans="1:38" s="11" customFormat="1" x14ac:dyDescent="0.25">
      <c r="A4643" s="3"/>
      <c r="F4643" s="19"/>
      <c r="G4643" s="19"/>
      <c r="N4643" s="19"/>
      <c r="P4643" s="19"/>
      <c r="AL4643" s="19"/>
    </row>
    <row r="4644" spans="1:38" s="11" customFormat="1" x14ac:dyDescent="0.25">
      <c r="A4644" s="3"/>
      <c r="F4644" s="19"/>
      <c r="G4644" s="19"/>
      <c r="N4644" s="19"/>
      <c r="P4644" s="19"/>
      <c r="AL4644" s="19"/>
    </row>
    <row r="4645" spans="1:38" s="11" customFormat="1" x14ac:dyDescent="0.25">
      <c r="A4645" s="3"/>
      <c r="F4645" s="19"/>
      <c r="G4645" s="19"/>
      <c r="N4645" s="19"/>
      <c r="P4645" s="19"/>
      <c r="AL4645" s="19"/>
    </row>
    <row r="4646" spans="1:38" s="11" customFormat="1" x14ac:dyDescent="0.25">
      <c r="A4646" s="3"/>
      <c r="F4646" s="19"/>
      <c r="G4646" s="19"/>
      <c r="N4646" s="19"/>
      <c r="P4646" s="19"/>
      <c r="AL4646" s="19"/>
    </row>
    <row r="4647" spans="1:38" s="11" customFormat="1" x14ac:dyDescent="0.25">
      <c r="A4647" s="3"/>
      <c r="F4647" s="19"/>
      <c r="G4647" s="19"/>
      <c r="N4647" s="19"/>
      <c r="P4647" s="19"/>
      <c r="AL4647" s="19"/>
    </row>
    <row r="4648" spans="1:38" s="11" customFormat="1" x14ac:dyDescent="0.25">
      <c r="A4648" s="3"/>
      <c r="F4648" s="19"/>
      <c r="G4648" s="19"/>
      <c r="N4648" s="19"/>
      <c r="P4648" s="19"/>
      <c r="AL4648" s="19"/>
    </row>
    <row r="4649" spans="1:38" s="11" customFormat="1" x14ac:dyDescent="0.25">
      <c r="A4649" s="3"/>
      <c r="F4649" s="19"/>
      <c r="G4649" s="19"/>
      <c r="N4649" s="19"/>
      <c r="P4649" s="19"/>
      <c r="AL4649" s="19"/>
    </row>
    <row r="4650" spans="1:38" s="11" customFormat="1" x14ac:dyDescent="0.25">
      <c r="A4650" s="3"/>
      <c r="F4650" s="19"/>
      <c r="G4650" s="19"/>
      <c r="N4650" s="19"/>
      <c r="P4650" s="19"/>
      <c r="AL4650" s="19"/>
    </row>
    <row r="4651" spans="1:38" s="11" customFormat="1" x14ac:dyDescent="0.25">
      <c r="A4651" s="3"/>
      <c r="F4651" s="19"/>
      <c r="G4651" s="19"/>
      <c r="N4651" s="19"/>
      <c r="P4651" s="19"/>
      <c r="AL4651" s="19"/>
    </row>
    <row r="4652" spans="1:38" s="11" customFormat="1" x14ac:dyDescent="0.25">
      <c r="A4652" s="3"/>
      <c r="F4652" s="19"/>
      <c r="G4652" s="19"/>
      <c r="N4652" s="19"/>
      <c r="P4652" s="19"/>
      <c r="AL4652" s="19"/>
    </row>
    <row r="4653" spans="1:38" s="11" customFormat="1" x14ac:dyDescent="0.25">
      <c r="A4653" s="3"/>
      <c r="F4653" s="19"/>
      <c r="G4653" s="19"/>
      <c r="N4653" s="19"/>
      <c r="P4653" s="19"/>
      <c r="AL4653" s="19"/>
    </row>
    <row r="4654" spans="1:38" s="11" customFormat="1" x14ac:dyDescent="0.25">
      <c r="A4654" s="3"/>
      <c r="F4654" s="19"/>
      <c r="G4654" s="19"/>
      <c r="N4654" s="19"/>
      <c r="P4654" s="19"/>
      <c r="AL4654" s="19"/>
    </row>
    <row r="4655" spans="1:38" s="11" customFormat="1" x14ac:dyDescent="0.25">
      <c r="A4655" s="3"/>
      <c r="F4655" s="19"/>
      <c r="G4655" s="19"/>
      <c r="N4655" s="19"/>
      <c r="P4655" s="19"/>
      <c r="AL4655" s="19"/>
    </row>
    <row r="4656" spans="1:38" s="11" customFormat="1" x14ac:dyDescent="0.25">
      <c r="A4656" s="3"/>
      <c r="F4656" s="19"/>
      <c r="G4656" s="19"/>
      <c r="N4656" s="19"/>
      <c r="P4656" s="19"/>
      <c r="AL4656" s="19"/>
    </row>
    <row r="4657" spans="1:38" s="11" customFormat="1" x14ac:dyDescent="0.25">
      <c r="A4657" s="3"/>
      <c r="F4657" s="19"/>
      <c r="G4657" s="19"/>
      <c r="N4657" s="19"/>
      <c r="P4657" s="19"/>
      <c r="AL4657" s="19"/>
    </row>
    <row r="4658" spans="1:38" s="11" customFormat="1" x14ac:dyDescent="0.25">
      <c r="A4658" s="3"/>
      <c r="F4658" s="19"/>
      <c r="G4658" s="19"/>
      <c r="N4658" s="19"/>
      <c r="P4658" s="19"/>
      <c r="AL4658" s="19"/>
    </row>
    <row r="4659" spans="1:38" s="11" customFormat="1" x14ac:dyDescent="0.25">
      <c r="A4659" s="3"/>
      <c r="F4659" s="19"/>
      <c r="G4659" s="19"/>
      <c r="N4659" s="19"/>
      <c r="P4659" s="19"/>
      <c r="AL4659" s="19"/>
    </row>
    <row r="4660" spans="1:38" s="11" customFormat="1" x14ac:dyDescent="0.25">
      <c r="A4660" s="3"/>
      <c r="F4660" s="19"/>
      <c r="G4660" s="19"/>
      <c r="N4660" s="19"/>
      <c r="P4660" s="19"/>
      <c r="AL4660" s="19"/>
    </row>
    <row r="4661" spans="1:38" s="11" customFormat="1" x14ac:dyDescent="0.25">
      <c r="A4661" s="3"/>
      <c r="F4661" s="19"/>
      <c r="G4661" s="19"/>
      <c r="N4661" s="19"/>
      <c r="P4661" s="19"/>
      <c r="AL4661" s="19"/>
    </row>
    <row r="4662" spans="1:38" s="11" customFormat="1" x14ac:dyDescent="0.25">
      <c r="A4662" s="3"/>
      <c r="F4662" s="19"/>
      <c r="G4662" s="19"/>
      <c r="N4662" s="19"/>
      <c r="P4662" s="19"/>
      <c r="AL4662" s="19"/>
    </row>
    <row r="4663" spans="1:38" s="11" customFormat="1" x14ac:dyDescent="0.25">
      <c r="A4663" s="3"/>
      <c r="F4663" s="19"/>
      <c r="G4663" s="19"/>
      <c r="N4663" s="19"/>
      <c r="P4663" s="19"/>
      <c r="AL4663" s="19"/>
    </row>
    <row r="4664" spans="1:38" s="11" customFormat="1" x14ac:dyDescent="0.25">
      <c r="A4664" s="3"/>
      <c r="F4664" s="19"/>
      <c r="G4664" s="19"/>
      <c r="N4664" s="19"/>
      <c r="P4664" s="19"/>
      <c r="AL4664" s="19"/>
    </row>
    <row r="4665" spans="1:38" s="11" customFormat="1" x14ac:dyDescent="0.25">
      <c r="A4665" s="3"/>
      <c r="F4665" s="19"/>
      <c r="G4665" s="19"/>
      <c r="N4665" s="19"/>
      <c r="P4665" s="19"/>
      <c r="AL4665" s="19"/>
    </row>
    <row r="4666" spans="1:38" s="11" customFormat="1" x14ac:dyDescent="0.25">
      <c r="A4666" s="3"/>
      <c r="F4666" s="19"/>
      <c r="G4666" s="19"/>
      <c r="N4666" s="19"/>
      <c r="P4666" s="19"/>
      <c r="AL4666" s="19"/>
    </row>
    <row r="4667" spans="1:38" s="11" customFormat="1" x14ac:dyDescent="0.25">
      <c r="A4667" s="3"/>
      <c r="F4667" s="19"/>
      <c r="G4667" s="19"/>
      <c r="N4667" s="19"/>
      <c r="P4667" s="19"/>
      <c r="AL4667" s="19"/>
    </row>
    <row r="4668" spans="1:38" s="11" customFormat="1" x14ac:dyDescent="0.25">
      <c r="A4668" s="3"/>
      <c r="F4668" s="19"/>
      <c r="G4668" s="19"/>
      <c r="N4668" s="19"/>
      <c r="P4668" s="19"/>
      <c r="AL4668" s="19"/>
    </row>
    <row r="4669" spans="1:38" s="11" customFormat="1" x14ac:dyDescent="0.25">
      <c r="A4669" s="3"/>
      <c r="F4669" s="19"/>
      <c r="G4669" s="19"/>
      <c r="N4669" s="19"/>
      <c r="P4669" s="19"/>
      <c r="AL4669" s="19"/>
    </row>
    <row r="4670" spans="1:38" s="11" customFormat="1" x14ac:dyDescent="0.25">
      <c r="A4670" s="3"/>
      <c r="F4670" s="19"/>
      <c r="G4670" s="19"/>
      <c r="N4670" s="19"/>
      <c r="P4670" s="19"/>
      <c r="AL4670" s="19"/>
    </row>
    <row r="4671" spans="1:38" s="11" customFormat="1" x14ac:dyDescent="0.25">
      <c r="A4671" s="3"/>
      <c r="F4671" s="19"/>
      <c r="G4671" s="19"/>
      <c r="N4671" s="19"/>
      <c r="P4671" s="19"/>
      <c r="AL4671" s="19"/>
    </row>
    <row r="4672" spans="1:38" s="11" customFormat="1" x14ac:dyDescent="0.25">
      <c r="A4672" s="3"/>
      <c r="F4672" s="19"/>
      <c r="G4672" s="19"/>
      <c r="N4672" s="19"/>
      <c r="P4672" s="19"/>
      <c r="AL4672" s="19"/>
    </row>
    <row r="4673" spans="1:38" s="11" customFormat="1" x14ac:dyDescent="0.25">
      <c r="A4673" s="3"/>
      <c r="F4673" s="19"/>
      <c r="G4673" s="19"/>
      <c r="N4673" s="19"/>
      <c r="P4673" s="19"/>
      <c r="AL4673" s="19"/>
    </row>
    <row r="4674" spans="1:38" s="11" customFormat="1" x14ac:dyDescent="0.25">
      <c r="A4674" s="3"/>
      <c r="F4674" s="19"/>
      <c r="G4674" s="19"/>
      <c r="N4674" s="19"/>
      <c r="P4674" s="19"/>
      <c r="AL4674" s="19"/>
    </row>
    <row r="4675" spans="1:38" s="11" customFormat="1" x14ac:dyDescent="0.25">
      <c r="A4675" s="3"/>
      <c r="F4675" s="19"/>
      <c r="G4675" s="19"/>
      <c r="N4675" s="19"/>
      <c r="P4675" s="19"/>
      <c r="AL4675" s="19"/>
    </row>
    <row r="4676" spans="1:38" s="11" customFormat="1" x14ac:dyDescent="0.25">
      <c r="A4676" s="3"/>
      <c r="F4676" s="19"/>
      <c r="G4676" s="19"/>
      <c r="N4676" s="19"/>
      <c r="P4676" s="19"/>
      <c r="AL4676" s="19"/>
    </row>
    <row r="4677" spans="1:38" s="11" customFormat="1" x14ac:dyDescent="0.25">
      <c r="A4677" s="3"/>
      <c r="F4677" s="19"/>
      <c r="G4677" s="19"/>
      <c r="N4677" s="19"/>
      <c r="P4677" s="19"/>
      <c r="AL4677" s="19"/>
    </row>
    <row r="4678" spans="1:38" s="11" customFormat="1" x14ac:dyDescent="0.25">
      <c r="A4678" s="3"/>
      <c r="F4678" s="19"/>
      <c r="G4678" s="19"/>
      <c r="N4678" s="19"/>
      <c r="P4678" s="19"/>
      <c r="AL4678" s="19"/>
    </row>
    <row r="4679" spans="1:38" s="11" customFormat="1" x14ac:dyDescent="0.25">
      <c r="A4679" s="3"/>
      <c r="F4679" s="19"/>
      <c r="G4679" s="19"/>
      <c r="N4679" s="19"/>
      <c r="P4679" s="19"/>
      <c r="AL4679" s="19"/>
    </row>
    <row r="4680" spans="1:38" s="11" customFormat="1" x14ac:dyDescent="0.25">
      <c r="A4680" s="3"/>
      <c r="F4680" s="19"/>
      <c r="G4680" s="19"/>
      <c r="N4680" s="19"/>
      <c r="P4680" s="19"/>
      <c r="AL4680" s="19"/>
    </row>
    <row r="4681" spans="1:38" s="11" customFormat="1" x14ac:dyDescent="0.25">
      <c r="A4681" s="3"/>
      <c r="F4681" s="19"/>
      <c r="G4681" s="19"/>
      <c r="N4681" s="19"/>
      <c r="P4681" s="19"/>
      <c r="AL4681" s="19"/>
    </row>
    <row r="4682" spans="1:38" s="11" customFormat="1" x14ac:dyDescent="0.25">
      <c r="A4682" s="3"/>
      <c r="F4682" s="19"/>
      <c r="G4682" s="19"/>
      <c r="N4682" s="19"/>
      <c r="P4682" s="19"/>
      <c r="AL4682" s="19"/>
    </row>
    <row r="4683" spans="1:38" s="11" customFormat="1" x14ac:dyDescent="0.25">
      <c r="A4683" s="3"/>
      <c r="F4683" s="19"/>
      <c r="G4683" s="19"/>
      <c r="N4683" s="19"/>
      <c r="P4683" s="19"/>
      <c r="AL4683" s="19"/>
    </row>
    <row r="4684" spans="1:38" s="11" customFormat="1" x14ac:dyDescent="0.25">
      <c r="A4684" s="3"/>
      <c r="F4684" s="19"/>
      <c r="G4684" s="19"/>
      <c r="N4684" s="19"/>
      <c r="P4684" s="19"/>
      <c r="AL4684" s="19"/>
    </row>
    <row r="4685" spans="1:38" s="11" customFormat="1" x14ac:dyDescent="0.25">
      <c r="A4685" s="3"/>
      <c r="F4685" s="19"/>
      <c r="G4685" s="19"/>
      <c r="N4685" s="19"/>
      <c r="P4685" s="19"/>
      <c r="AL4685" s="19"/>
    </row>
    <row r="4686" spans="1:38" s="11" customFormat="1" x14ac:dyDescent="0.25">
      <c r="A4686" s="3"/>
      <c r="F4686" s="19"/>
      <c r="G4686" s="19"/>
      <c r="N4686" s="19"/>
      <c r="P4686" s="19"/>
      <c r="AL4686" s="19"/>
    </row>
    <row r="4687" spans="1:38" s="11" customFormat="1" x14ac:dyDescent="0.25">
      <c r="A4687" s="3"/>
      <c r="F4687" s="19"/>
      <c r="G4687" s="19"/>
      <c r="N4687" s="19"/>
      <c r="P4687" s="19"/>
      <c r="AL4687" s="19"/>
    </row>
    <row r="4688" spans="1:38" s="11" customFormat="1" x14ac:dyDescent="0.25">
      <c r="A4688" s="3"/>
      <c r="F4688" s="19"/>
      <c r="G4688" s="19"/>
      <c r="N4688" s="19"/>
      <c r="P4688" s="19"/>
      <c r="AL4688" s="19"/>
    </row>
    <row r="4689" spans="1:38" s="11" customFormat="1" x14ac:dyDescent="0.25">
      <c r="A4689" s="3"/>
      <c r="F4689" s="19"/>
      <c r="G4689" s="19"/>
      <c r="N4689" s="19"/>
      <c r="P4689" s="19"/>
      <c r="AL4689" s="19"/>
    </row>
    <row r="4690" spans="1:38" s="11" customFormat="1" x14ac:dyDescent="0.25">
      <c r="A4690" s="3"/>
      <c r="F4690" s="19"/>
      <c r="G4690" s="19"/>
      <c r="N4690" s="19"/>
      <c r="P4690" s="19"/>
      <c r="AL4690" s="19"/>
    </row>
    <row r="4691" spans="1:38" s="11" customFormat="1" x14ac:dyDescent="0.25">
      <c r="A4691" s="3"/>
      <c r="F4691" s="19"/>
      <c r="G4691" s="19"/>
      <c r="N4691" s="19"/>
      <c r="P4691" s="19"/>
      <c r="AL4691" s="19"/>
    </row>
    <row r="4692" spans="1:38" s="11" customFormat="1" x14ac:dyDescent="0.25">
      <c r="A4692" s="3"/>
      <c r="F4692" s="19"/>
      <c r="G4692" s="19"/>
      <c r="N4692" s="19"/>
      <c r="P4692" s="19"/>
      <c r="AL4692" s="19"/>
    </row>
    <row r="4693" spans="1:38" s="11" customFormat="1" x14ac:dyDescent="0.25">
      <c r="A4693" s="3"/>
      <c r="F4693" s="19"/>
      <c r="G4693" s="19"/>
      <c r="N4693" s="19"/>
      <c r="P4693" s="19"/>
      <c r="AL4693" s="19"/>
    </row>
    <row r="4694" spans="1:38" s="11" customFormat="1" x14ac:dyDescent="0.25">
      <c r="A4694" s="3"/>
      <c r="F4694" s="19"/>
      <c r="G4694" s="19"/>
      <c r="N4694" s="19"/>
      <c r="P4694" s="19"/>
      <c r="AL4694" s="19"/>
    </row>
    <row r="4695" spans="1:38" s="11" customFormat="1" x14ac:dyDescent="0.25">
      <c r="A4695" s="3"/>
      <c r="F4695" s="19"/>
      <c r="G4695" s="19"/>
      <c r="N4695" s="19"/>
      <c r="P4695" s="19"/>
      <c r="AL4695" s="19"/>
    </row>
    <row r="4696" spans="1:38" s="11" customFormat="1" x14ac:dyDescent="0.25">
      <c r="A4696" s="3"/>
      <c r="F4696" s="19"/>
      <c r="G4696" s="19"/>
      <c r="N4696" s="19"/>
      <c r="P4696" s="19"/>
      <c r="AL4696" s="19"/>
    </row>
    <row r="4697" spans="1:38" s="11" customFormat="1" x14ac:dyDescent="0.25">
      <c r="A4697" s="3"/>
      <c r="F4697" s="19"/>
      <c r="G4697" s="19"/>
      <c r="N4697" s="19"/>
      <c r="P4697" s="19"/>
      <c r="AL4697" s="19"/>
    </row>
    <row r="4698" spans="1:38" s="11" customFormat="1" x14ac:dyDescent="0.25">
      <c r="A4698" s="3"/>
      <c r="F4698" s="19"/>
      <c r="G4698" s="19"/>
      <c r="N4698" s="19"/>
      <c r="P4698" s="19"/>
      <c r="AL4698" s="19"/>
    </row>
    <row r="4699" spans="1:38" s="11" customFormat="1" x14ac:dyDescent="0.25">
      <c r="A4699" s="3"/>
      <c r="F4699" s="19"/>
      <c r="G4699" s="19"/>
      <c r="N4699" s="19"/>
      <c r="P4699" s="19"/>
      <c r="AL4699" s="19"/>
    </row>
    <row r="4700" spans="1:38" s="11" customFormat="1" x14ac:dyDescent="0.25">
      <c r="A4700" s="3"/>
      <c r="F4700" s="19"/>
      <c r="G4700" s="19"/>
      <c r="N4700" s="19"/>
      <c r="P4700" s="19"/>
      <c r="AL4700" s="19"/>
    </row>
    <row r="4701" spans="1:38" s="11" customFormat="1" x14ac:dyDescent="0.25">
      <c r="A4701" s="3"/>
      <c r="F4701" s="19"/>
      <c r="G4701" s="19"/>
      <c r="N4701" s="19"/>
      <c r="P4701" s="19"/>
      <c r="AL4701" s="19"/>
    </row>
    <row r="4702" spans="1:38" s="11" customFormat="1" x14ac:dyDescent="0.25">
      <c r="A4702" s="3"/>
      <c r="F4702" s="19"/>
      <c r="G4702" s="19"/>
      <c r="N4702" s="19"/>
      <c r="P4702" s="19"/>
      <c r="AL4702" s="19"/>
    </row>
    <row r="4703" spans="1:38" s="11" customFormat="1" x14ac:dyDescent="0.25">
      <c r="A4703" s="3"/>
      <c r="F4703" s="19"/>
      <c r="G4703" s="19"/>
      <c r="N4703" s="19"/>
      <c r="P4703" s="19"/>
      <c r="AL4703" s="19"/>
    </row>
    <row r="4704" spans="1:38" s="11" customFormat="1" x14ac:dyDescent="0.25">
      <c r="A4704" s="3"/>
      <c r="F4704" s="19"/>
      <c r="G4704" s="19"/>
      <c r="N4704" s="19"/>
      <c r="P4704" s="19"/>
      <c r="AL4704" s="19"/>
    </row>
    <row r="4705" spans="1:38" s="11" customFormat="1" x14ac:dyDescent="0.25">
      <c r="A4705" s="3"/>
      <c r="F4705" s="19"/>
      <c r="G4705" s="19"/>
      <c r="N4705" s="19"/>
      <c r="P4705" s="19"/>
      <c r="AL4705" s="19"/>
    </row>
    <row r="4706" spans="1:38" s="11" customFormat="1" x14ac:dyDescent="0.25">
      <c r="A4706" s="3"/>
      <c r="F4706" s="19"/>
      <c r="G4706" s="19"/>
      <c r="N4706" s="19"/>
      <c r="P4706" s="19"/>
      <c r="AL4706" s="19"/>
    </row>
    <row r="4707" spans="1:38" s="11" customFormat="1" x14ac:dyDescent="0.25">
      <c r="A4707" s="3"/>
      <c r="F4707" s="19"/>
      <c r="G4707" s="19"/>
      <c r="N4707" s="19"/>
      <c r="P4707" s="19"/>
      <c r="AL4707" s="19"/>
    </row>
    <row r="4708" spans="1:38" s="11" customFormat="1" x14ac:dyDescent="0.25">
      <c r="A4708" s="3"/>
      <c r="F4708" s="19"/>
      <c r="G4708" s="19"/>
      <c r="N4708" s="19"/>
      <c r="P4708" s="19"/>
      <c r="AL4708" s="19"/>
    </row>
    <row r="4709" spans="1:38" s="11" customFormat="1" x14ac:dyDescent="0.25">
      <c r="A4709" s="3"/>
      <c r="F4709" s="19"/>
      <c r="G4709" s="19"/>
      <c r="N4709" s="19"/>
      <c r="P4709" s="19"/>
      <c r="AL4709" s="19"/>
    </row>
    <row r="4710" spans="1:38" s="11" customFormat="1" x14ac:dyDescent="0.25">
      <c r="A4710" s="3"/>
      <c r="F4710" s="19"/>
      <c r="G4710" s="19"/>
      <c r="N4710" s="19"/>
      <c r="P4710" s="19"/>
      <c r="AL4710" s="19"/>
    </row>
    <row r="4711" spans="1:38" s="11" customFormat="1" x14ac:dyDescent="0.25">
      <c r="A4711" s="3"/>
      <c r="F4711" s="19"/>
      <c r="G4711" s="19"/>
      <c r="N4711" s="19"/>
      <c r="P4711" s="19"/>
      <c r="AL4711" s="19"/>
    </row>
    <row r="4712" spans="1:38" s="11" customFormat="1" x14ac:dyDescent="0.25">
      <c r="A4712" s="3"/>
      <c r="F4712" s="19"/>
      <c r="G4712" s="19"/>
      <c r="N4712" s="19"/>
      <c r="P4712" s="19"/>
      <c r="AL4712" s="19"/>
    </row>
    <row r="4713" spans="1:38" s="11" customFormat="1" x14ac:dyDescent="0.25">
      <c r="A4713" s="3"/>
      <c r="F4713" s="19"/>
      <c r="G4713" s="19"/>
      <c r="N4713" s="19"/>
      <c r="P4713" s="19"/>
      <c r="AL4713" s="19"/>
    </row>
    <row r="4714" spans="1:38" s="11" customFormat="1" x14ac:dyDescent="0.25">
      <c r="A4714" s="3"/>
      <c r="F4714" s="19"/>
      <c r="G4714" s="19"/>
      <c r="N4714" s="19"/>
      <c r="P4714" s="19"/>
      <c r="AL4714" s="19"/>
    </row>
    <row r="4715" spans="1:38" s="11" customFormat="1" x14ac:dyDescent="0.25">
      <c r="A4715" s="3"/>
      <c r="F4715" s="19"/>
      <c r="G4715" s="19"/>
      <c r="N4715" s="19"/>
      <c r="P4715" s="19"/>
      <c r="AL4715" s="19"/>
    </row>
    <row r="4716" spans="1:38" s="11" customFormat="1" x14ac:dyDescent="0.25">
      <c r="A4716" s="3"/>
      <c r="F4716" s="19"/>
      <c r="G4716" s="19"/>
      <c r="N4716" s="19"/>
      <c r="P4716" s="19"/>
      <c r="AL4716" s="19"/>
    </row>
    <row r="4717" spans="1:38" s="11" customFormat="1" x14ac:dyDescent="0.25">
      <c r="A4717" s="3"/>
      <c r="F4717" s="19"/>
      <c r="G4717" s="19"/>
      <c r="N4717" s="19"/>
      <c r="P4717" s="19"/>
      <c r="AL4717" s="19"/>
    </row>
    <row r="4718" spans="1:38" s="11" customFormat="1" x14ac:dyDescent="0.25">
      <c r="A4718" s="3"/>
      <c r="F4718" s="19"/>
      <c r="G4718" s="19"/>
      <c r="N4718" s="19"/>
      <c r="P4718" s="19"/>
      <c r="AL4718" s="19"/>
    </row>
    <row r="4719" spans="1:38" s="11" customFormat="1" x14ac:dyDescent="0.25">
      <c r="A4719" s="3"/>
      <c r="F4719" s="19"/>
      <c r="G4719" s="19"/>
      <c r="N4719" s="19"/>
      <c r="P4719" s="19"/>
      <c r="AL4719" s="19"/>
    </row>
    <row r="4720" spans="1:38" s="11" customFormat="1" x14ac:dyDescent="0.25">
      <c r="A4720" s="3"/>
      <c r="F4720" s="19"/>
      <c r="G4720" s="19"/>
      <c r="N4720" s="19"/>
      <c r="P4720" s="19"/>
      <c r="AL4720" s="19"/>
    </row>
    <row r="4721" spans="1:38" s="11" customFormat="1" x14ac:dyDescent="0.25">
      <c r="A4721" s="3"/>
      <c r="F4721" s="19"/>
      <c r="G4721" s="19"/>
      <c r="N4721" s="19"/>
      <c r="P4721" s="19"/>
      <c r="AL4721" s="19"/>
    </row>
    <row r="4722" spans="1:38" s="11" customFormat="1" x14ac:dyDescent="0.25">
      <c r="A4722" s="3"/>
      <c r="F4722" s="19"/>
      <c r="G4722" s="19"/>
      <c r="N4722" s="19"/>
      <c r="P4722" s="19"/>
      <c r="AL4722" s="19"/>
    </row>
    <row r="4723" spans="1:38" s="11" customFormat="1" x14ac:dyDescent="0.25">
      <c r="A4723" s="3"/>
      <c r="F4723" s="19"/>
      <c r="G4723" s="19"/>
      <c r="N4723" s="19"/>
      <c r="P4723" s="19"/>
      <c r="AL4723" s="19"/>
    </row>
    <row r="4724" spans="1:38" s="11" customFormat="1" x14ac:dyDescent="0.25">
      <c r="A4724" s="3"/>
      <c r="F4724" s="19"/>
      <c r="G4724" s="19"/>
      <c r="N4724" s="19"/>
      <c r="P4724" s="19"/>
      <c r="AL4724" s="19"/>
    </row>
    <row r="4725" spans="1:38" s="11" customFormat="1" x14ac:dyDescent="0.25">
      <c r="A4725" s="3"/>
      <c r="F4725" s="19"/>
      <c r="G4725" s="19"/>
      <c r="N4725" s="19"/>
      <c r="P4725" s="19"/>
      <c r="AL4725" s="19"/>
    </row>
    <row r="4726" spans="1:38" s="11" customFormat="1" x14ac:dyDescent="0.25">
      <c r="A4726" s="3"/>
      <c r="F4726" s="19"/>
      <c r="G4726" s="19"/>
      <c r="N4726" s="19"/>
      <c r="P4726" s="19"/>
      <c r="AL4726" s="19"/>
    </row>
    <row r="4727" spans="1:38" s="11" customFormat="1" x14ac:dyDescent="0.25">
      <c r="A4727" s="3"/>
      <c r="F4727" s="19"/>
      <c r="G4727" s="19"/>
      <c r="N4727" s="19"/>
      <c r="P4727" s="19"/>
      <c r="AL4727" s="19"/>
    </row>
    <row r="4728" spans="1:38" s="11" customFormat="1" x14ac:dyDescent="0.25">
      <c r="A4728" s="3"/>
      <c r="F4728" s="19"/>
      <c r="G4728" s="19"/>
      <c r="N4728" s="19"/>
      <c r="P4728" s="19"/>
      <c r="AL4728" s="19"/>
    </row>
    <row r="4729" spans="1:38" s="11" customFormat="1" x14ac:dyDescent="0.25">
      <c r="A4729" s="3"/>
      <c r="F4729" s="19"/>
      <c r="G4729" s="19"/>
      <c r="N4729" s="19"/>
      <c r="P4729" s="19"/>
      <c r="AL4729" s="19"/>
    </row>
    <row r="4730" spans="1:38" s="11" customFormat="1" x14ac:dyDescent="0.25">
      <c r="A4730" s="3"/>
      <c r="F4730" s="19"/>
      <c r="G4730" s="19"/>
      <c r="N4730" s="19"/>
      <c r="P4730" s="19"/>
      <c r="AL4730" s="19"/>
    </row>
    <row r="4731" spans="1:38" s="11" customFormat="1" x14ac:dyDescent="0.25">
      <c r="A4731" s="3"/>
      <c r="F4731" s="19"/>
      <c r="G4731" s="19"/>
      <c r="N4731" s="19"/>
      <c r="P4731" s="19"/>
      <c r="AL4731" s="19"/>
    </row>
    <row r="4732" spans="1:38" s="11" customFormat="1" x14ac:dyDescent="0.25">
      <c r="A4732" s="3"/>
      <c r="F4732" s="19"/>
      <c r="G4732" s="19"/>
      <c r="N4732" s="19"/>
      <c r="P4732" s="19"/>
      <c r="AL4732" s="19"/>
    </row>
    <row r="4733" spans="1:38" s="11" customFormat="1" x14ac:dyDescent="0.25">
      <c r="A4733" s="3"/>
      <c r="F4733" s="19"/>
      <c r="G4733" s="19"/>
      <c r="N4733" s="19"/>
      <c r="P4733" s="19"/>
      <c r="AL4733" s="19"/>
    </row>
    <row r="4734" spans="1:38" s="11" customFormat="1" x14ac:dyDescent="0.25">
      <c r="A4734" s="3"/>
      <c r="F4734" s="19"/>
      <c r="G4734" s="19"/>
      <c r="N4734" s="19"/>
      <c r="P4734" s="19"/>
      <c r="AL4734" s="19"/>
    </row>
    <row r="4735" spans="1:38" s="11" customFormat="1" x14ac:dyDescent="0.25">
      <c r="A4735" s="3"/>
      <c r="F4735" s="19"/>
      <c r="G4735" s="19"/>
      <c r="N4735" s="19"/>
      <c r="P4735" s="19"/>
      <c r="AL4735" s="19"/>
    </row>
    <row r="4736" spans="1:38" s="11" customFormat="1" x14ac:dyDescent="0.25">
      <c r="A4736" s="3"/>
      <c r="F4736" s="19"/>
      <c r="G4736" s="19"/>
      <c r="N4736" s="19"/>
      <c r="P4736" s="19"/>
      <c r="AL4736" s="19"/>
    </row>
    <row r="4737" spans="1:38" s="11" customFormat="1" x14ac:dyDescent="0.25">
      <c r="A4737" s="3"/>
      <c r="F4737" s="19"/>
      <c r="G4737" s="19"/>
      <c r="N4737" s="19"/>
      <c r="P4737" s="19"/>
      <c r="AL4737" s="19"/>
    </row>
    <row r="4738" spans="1:38" s="11" customFormat="1" x14ac:dyDescent="0.25">
      <c r="A4738" s="3"/>
      <c r="F4738" s="19"/>
      <c r="G4738" s="19"/>
      <c r="N4738" s="19"/>
      <c r="P4738" s="19"/>
      <c r="AL4738" s="19"/>
    </row>
    <row r="4739" spans="1:38" s="11" customFormat="1" x14ac:dyDescent="0.25">
      <c r="A4739" s="3"/>
      <c r="F4739" s="19"/>
      <c r="G4739" s="19"/>
      <c r="N4739" s="19"/>
      <c r="P4739" s="19"/>
      <c r="AL4739" s="19"/>
    </row>
    <row r="4740" spans="1:38" s="11" customFormat="1" x14ac:dyDescent="0.25">
      <c r="A4740" s="3"/>
      <c r="F4740" s="19"/>
      <c r="G4740" s="19"/>
      <c r="N4740" s="19"/>
      <c r="P4740" s="19"/>
      <c r="AL4740" s="19"/>
    </row>
    <row r="4741" spans="1:38" s="11" customFormat="1" x14ac:dyDescent="0.25">
      <c r="A4741" s="3"/>
      <c r="F4741" s="19"/>
      <c r="G4741" s="19"/>
      <c r="N4741" s="19"/>
      <c r="P4741" s="19"/>
      <c r="AL4741" s="19"/>
    </row>
    <row r="4742" spans="1:38" s="11" customFormat="1" x14ac:dyDescent="0.25">
      <c r="A4742" s="3"/>
      <c r="F4742" s="19"/>
      <c r="G4742" s="19"/>
      <c r="N4742" s="19"/>
      <c r="P4742" s="19"/>
      <c r="AL4742" s="19"/>
    </row>
    <row r="4743" spans="1:38" s="11" customFormat="1" x14ac:dyDescent="0.25">
      <c r="A4743" s="3"/>
      <c r="F4743" s="19"/>
      <c r="G4743" s="19"/>
      <c r="N4743" s="19"/>
      <c r="P4743" s="19"/>
      <c r="AL4743" s="19"/>
    </row>
    <row r="4744" spans="1:38" s="11" customFormat="1" x14ac:dyDescent="0.25">
      <c r="A4744" s="3"/>
      <c r="F4744" s="19"/>
      <c r="G4744" s="19"/>
      <c r="N4744" s="19"/>
      <c r="P4744" s="19"/>
      <c r="AL4744" s="19"/>
    </row>
    <row r="4745" spans="1:38" s="11" customFormat="1" x14ac:dyDescent="0.25">
      <c r="A4745" s="3"/>
      <c r="F4745" s="19"/>
      <c r="G4745" s="19"/>
      <c r="N4745" s="19"/>
      <c r="P4745" s="19"/>
      <c r="AL4745" s="19"/>
    </row>
    <row r="4746" spans="1:38" s="11" customFormat="1" x14ac:dyDescent="0.25">
      <c r="A4746" s="3"/>
      <c r="F4746" s="19"/>
      <c r="G4746" s="19"/>
      <c r="N4746" s="19"/>
      <c r="P4746" s="19"/>
      <c r="AL4746" s="19"/>
    </row>
    <row r="4747" spans="1:38" s="11" customFormat="1" x14ac:dyDescent="0.25">
      <c r="A4747" s="3"/>
      <c r="F4747" s="19"/>
      <c r="G4747" s="19"/>
      <c r="N4747" s="19"/>
      <c r="P4747" s="19"/>
      <c r="AL4747" s="19"/>
    </row>
    <row r="4748" spans="1:38" s="11" customFormat="1" x14ac:dyDescent="0.25">
      <c r="A4748" s="3"/>
      <c r="F4748" s="19"/>
      <c r="G4748" s="19"/>
      <c r="N4748" s="19"/>
      <c r="P4748" s="19"/>
      <c r="AL4748" s="19"/>
    </row>
    <row r="4749" spans="1:38" s="11" customFormat="1" x14ac:dyDescent="0.25">
      <c r="A4749" s="3"/>
      <c r="F4749" s="19"/>
      <c r="G4749" s="19"/>
      <c r="N4749" s="19"/>
      <c r="P4749" s="19"/>
      <c r="AL4749" s="19"/>
    </row>
    <row r="4750" spans="1:38" s="11" customFormat="1" x14ac:dyDescent="0.25">
      <c r="A4750" s="3"/>
      <c r="F4750" s="19"/>
      <c r="G4750" s="19"/>
      <c r="N4750" s="19"/>
      <c r="P4750" s="19"/>
      <c r="AL4750" s="19"/>
    </row>
    <row r="4751" spans="1:38" s="11" customFormat="1" x14ac:dyDescent="0.25">
      <c r="A4751" s="3"/>
      <c r="F4751" s="19"/>
      <c r="G4751" s="19"/>
      <c r="N4751" s="19"/>
      <c r="P4751" s="19"/>
      <c r="AL4751" s="19"/>
    </row>
    <row r="4752" spans="1:38" s="11" customFormat="1" x14ac:dyDescent="0.25">
      <c r="A4752" s="3"/>
      <c r="F4752" s="19"/>
      <c r="G4752" s="19"/>
      <c r="N4752" s="19"/>
      <c r="P4752" s="19"/>
      <c r="AL4752" s="19"/>
    </row>
    <row r="4753" spans="1:38" s="11" customFormat="1" x14ac:dyDescent="0.25">
      <c r="A4753" s="3"/>
      <c r="F4753" s="19"/>
      <c r="G4753" s="19"/>
      <c r="N4753" s="19"/>
      <c r="P4753" s="19"/>
      <c r="AL4753" s="19"/>
    </row>
    <row r="4754" spans="1:38" s="11" customFormat="1" x14ac:dyDescent="0.25">
      <c r="A4754" s="3"/>
      <c r="F4754" s="19"/>
      <c r="G4754" s="19"/>
      <c r="N4754" s="19"/>
      <c r="P4754" s="19"/>
      <c r="AL4754" s="19"/>
    </row>
    <row r="4755" spans="1:38" s="11" customFormat="1" x14ac:dyDescent="0.25">
      <c r="A4755" s="3"/>
      <c r="F4755" s="19"/>
      <c r="G4755" s="19"/>
      <c r="N4755" s="19"/>
      <c r="P4755" s="19"/>
      <c r="AL4755" s="19"/>
    </row>
    <row r="4756" spans="1:38" s="11" customFormat="1" x14ac:dyDescent="0.25">
      <c r="A4756" s="3"/>
      <c r="F4756" s="19"/>
      <c r="G4756" s="19"/>
      <c r="N4756" s="19"/>
      <c r="P4756" s="19"/>
      <c r="AL4756" s="19"/>
    </row>
    <row r="4757" spans="1:38" s="11" customFormat="1" x14ac:dyDescent="0.25">
      <c r="A4757" s="3"/>
      <c r="F4757" s="19"/>
      <c r="G4757" s="19"/>
      <c r="N4757" s="19"/>
      <c r="P4757" s="19"/>
      <c r="AL4757" s="19"/>
    </row>
    <row r="4758" spans="1:38" s="11" customFormat="1" x14ac:dyDescent="0.25">
      <c r="A4758" s="3"/>
      <c r="F4758" s="19"/>
      <c r="G4758" s="19"/>
      <c r="N4758" s="19"/>
      <c r="P4758" s="19"/>
      <c r="AL4758" s="19"/>
    </row>
    <row r="4759" spans="1:38" s="11" customFormat="1" x14ac:dyDescent="0.25">
      <c r="A4759" s="3"/>
      <c r="F4759" s="19"/>
      <c r="G4759" s="19"/>
      <c r="N4759" s="19"/>
      <c r="P4759" s="19"/>
      <c r="AL4759" s="19"/>
    </row>
    <row r="4760" spans="1:38" s="11" customFormat="1" x14ac:dyDescent="0.25">
      <c r="A4760" s="3"/>
      <c r="F4760" s="19"/>
      <c r="G4760" s="19"/>
      <c r="N4760" s="19"/>
      <c r="P4760" s="19"/>
      <c r="AL4760" s="19"/>
    </row>
    <row r="4761" spans="1:38" s="11" customFormat="1" x14ac:dyDescent="0.25">
      <c r="A4761" s="3"/>
      <c r="F4761" s="19"/>
      <c r="G4761" s="19"/>
      <c r="N4761" s="19"/>
      <c r="P4761" s="19"/>
      <c r="AL4761" s="19"/>
    </row>
    <row r="4762" spans="1:38" s="11" customFormat="1" x14ac:dyDescent="0.25">
      <c r="A4762" s="3"/>
      <c r="F4762" s="19"/>
      <c r="G4762" s="19"/>
      <c r="N4762" s="19"/>
      <c r="P4762" s="19"/>
      <c r="AL4762" s="19"/>
    </row>
    <row r="4763" spans="1:38" s="11" customFormat="1" x14ac:dyDescent="0.25">
      <c r="A4763" s="3"/>
      <c r="F4763" s="19"/>
      <c r="G4763" s="19"/>
      <c r="N4763" s="19"/>
      <c r="P4763" s="19"/>
      <c r="AL4763" s="19"/>
    </row>
    <row r="4764" spans="1:38" s="11" customFormat="1" x14ac:dyDescent="0.25">
      <c r="A4764" s="3"/>
      <c r="F4764" s="19"/>
      <c r="G4764" s="19"/>
      <c r="N4764" s="19"/>
      <c r="P4764" s="19"/>
      <c r="AL4764" s="19"/>
    </row>
    <row r="4765" spans="1:38" s="11" customFormat="1" x14ac:dyDescent="0.25">
      <c r="A4765" s="3"/>
      <c r="F4765" s="19"/>
      <c r="G4765" s="19"/>
      <c r="N4765" s="19"/>
      <c r="P4765" s="19"/>
      <c r="AL4765" s="19"/>
    </row>
    <row r="4766" spans="1:38" s="11" customFormat="1" x14ac:dyDescent="0.25">
      <c r="A4766" s="3"/>
      <c r="F4766" s="19"/>
      <c r="G4766" s="19"/>
      <c r="N4766" s="19"/>
      <c r="P4766" s="19"/>
      <c r="AL4766" s="19"/>
    </row>
    <row r="4767" spans="1:38" s="11" customFormat="1" x14ac:dyDescent="0.25">
      <c r="A4767" s="3"/>
      <c r="F4767" s="19"/>
      <c r="G4767" s="19"/>
      <c r="N4767" s="19"/>
      <c r="P4767" s="19"/>
      <c r="AL4767" s="19"/>
    </row>
    <row r="4768" spans="1:38" s="11" customFormat="1" x14ac:dyDescent="0.25">
      <c r="A4768" s="3"/>
      <c r="F4768" s="19"/>
      <c r="G4768" s="19"/>
      <c r="N4768" s="19"/>
      <c r="P4768" s="19"/>
      <c r="AL4768" s="19"/>
    </row>
    <row r="4769" spans="1:38" s="11" customFormat="1" x14ac:dyDescent="0.25">
      <c r="A4769" s="3"/>
      <c r="F4769" s="19"/>
      <c r="G4769" s="19"/>
      <c r="N4769" s="19"/>
      <c r="P4769" s="19"/>
      <c r="AL4769" s="19"/>
    </row>
    <row r="4770" spans="1:38" s="11" customFormat="1" x14ac:dyDescent="0.25">
      <c r="A4770" s="3"/>
      <c r="F4770" s="19"/>
      <c r="G4770" s="19"/>
      <c r="N4770" s="19"/>
      <c r="P4770" s="19"/>
      <c r="AL4770" s="19"/>
    </row>
    <row r="4771" spans="1:38" s="11" customFormat="1" x14ac:dyDescent="0.25">
      <c r="A4771" s="3"/>
      <c r="F4771" s="19"/>
      <c r="G4771" s="19"/>
      <c r="N4771" s="19"/>
      <c r="P4771" s="19"/>
      <c r="AL4771" s="19"/>
    </row>
    <row r="4772" spans="1:38" s="11" customFormat="1" x14ac:dyDescent="0.25">
      <c r="A4772" s="3"/>
      <c r="F4772" s="19"/>
      <c r="G4772" s="19"/>
      <c r="N4772" s="19"/>
      <c r="P4772" s="19"/>
      <c r="AL4772" s="19"/>
    </row>
    <row r="4773" spans="1:38" s="11" customFormat="1" x14ac:dyDescent="0.25">
      <c r="A4773" s="3"/>
      <c r="F4773" s="19"/>
      <c r="G4773" s="19"/>
      <c r="N4773" s="19"/>
      <c r="P4773" s="19"/>
      <c r="AL4773" s="19"/>
    </row>
    <row r="4774" spans="1:38" s="11" customFormat="1" x14ac:dyDescent="0.25">
      <c r="A4774" s="3"/>
      <c r="F4774" s="19"/>
      <c r="G4774" s="19"/>
      <c r="N4774" s="19"/>
      <c r="P4774" s="19"/>
      <c r="AL4774" s="19"/>
    </row>
    <row r="4775" spans="1:38" s="11" customFormat="1" x14ac:dyDescent="0.25">
      <c r="A4775" s="3"/>
      <c r="F4775" s="19"/>
      <c r="G4775" s="19"/>
      <c r="N4775" s="19"/>
      <c r="P4775" s="19"/>
      <c r="AL4775" s="19"/>
    </row>
    <row r="4776" spans="1:38" s="11" customFormat="1" x14ac:dyDescent="0.25">
      <c r="A4776" s="3"/>
      <c r="F4776" s="19"/>
      <c r="G4776" s="19"/>
      <c r="N4776" s="19"/>
      <c r="P4776" s="19"/>
      <c r="AL4776" s="19"/>
    </row>
    <row r="4777" spans="1:38" s="11" customFormat="1" x14ac:dyDescent="0.25">
      <c r="A4777" s="3"/>
      <c r="F4777" s="19"/>
      <c r="G4777" s="19"/>
      <c r="N4777" s="19"/>
      <c r="P4777" s="19"/>
      <c r="AL4777" s="19"/>
    </row>
    <row r="4778" spans="1:38" s="11" customFormat="1" x14ac:dyDescent="0.25">
      <c r="A4778" s="3"/>
      <c r="F4778" s="19"/>
      <c r="G4778" s="19"/>
      <c r="N4778" s="19"/>
      <c r="P4778" s="19"/>
      <c r="AL4778" s="19"/>
    </row>
    <row r="4779" spans="1:38" s="11" customFormat="1" x14ac:dyDescent="0.25">
      <c r="A4779" s="3"/>
      <c r="F4779" s="19"/>
      <c r="G4779" s="19"/>
      <c r="N4779" s="19"/>
      <c r="P4779" s="19"/>
      <c r="AL4779" s="19"/>
    </row>
    <row r="4780" spans="1:38" s="11" customFormat="1" x14ac:dyDescent="0.25">
      <c r="A4780" s="3"/>
      <c r="F4780" s="19"/>
      <c r="G4780" s="19"/>
      <c r="N4780" s="19"/>
      <c r="P4780" s="19"/>
      <c r="AL4780" s="19"/>
    </row>
    <row r="4781" spans="1:38" s="11" customFormat="1" x14ac:dyDescent="0.25">
      <c r="A4781" s="3"/>
      <c r="F4781" s="19"/>
      <c r="G4781" s="19"/>
      <c r="N4781" s="19"/>
      <c r="P4781" s="19"/>
      <c r="AL4781" s="19"/>
    </row>
    <row r="4782" spans="1:38" s="11" customFormat="1" x14ac:dyDescent="0.25">
      <c r="A4782" s="3"/>
      <c r="F4782" s="19"/>
      <c r="G4782" s="19"/>
      <c r="N4782" s="19"/>
      <c r="P4782" s="19"/>
      <c r="AL4782" s="19"/>
    </row>
    <row r="4783" spans="1:38" s="11" customFormat="1" x14ac:dyDescent="0.25">
      <c r="A4783" s="3"/>
      <c r="F4783" s="19"/>
      <c r="G4783" s="19"/>
      <c r="N4783" s="19"/>
      <c r="P4783" s="19"/>
      <c r="AL4783" s="19"/>
    </row>
    <row r="4784" spans="1:38" s="11" customFormat="1" x14ac:dyDescent="0.25">
      <c r="A4784" s="3"/>
      <c r="F4784" s="19"/>
      <c r="G4784" s="19"/>
      <c r="N4784" s="19"/>
      <c r="P4784" s="19"/>
      <c r="AL4784" s="19"/>
    </row>
    <row r="4785" spans="1:38" s="11" customFormat="1" x14ac:dyDescent="0.25">
      <c r="A4785" s="3"/>
      <c r="F4785" s="19"/>
      <c r="G4785" s="19"/>
      <c r="N4785" s="19"/>
      <c r="P4785" s="19"/>
      <c r="AL4785" s="19"/>
    </row>
    <row r="4786" spans="1:38" s="11" customFormat="1" x14ac:dyDescent="0.25">
      <c r="A4786" s="3"/>
      <c r="F4786" s="19"/>
      <c r="G4786" s="19"/>
      <c r="N4786" s="19"/>
      <c r="P4786" s="19"/>
      <c r="AL4786" s="19"/>
    </row>
    <row r="4787" spans="1:38" s="11" customFormat="1" x14ac:dyDescent="0.25">
      <c r="A4787" s="3"/>
      <c r="F4787" s="19"/>
      <c r="G4787" s="19"/>
      <c r="N4787" s="19"/>
      <c r="P4787" s="19"/>
      <c r="AL4787" s="19"/>
    </row>
    <row r="4788" spans="1:38" s="11" customFormat="1" x14ac:dyDescent="0.25">
      <c r="A4788" s="3"/>
      <c r="F4788" s="19"/>
      <c r="G4788" s="19"/>
      <c r="N4788" s="19"/>
      <c r="P4788" s="19"/>
      <c r="AL4788" s="19"/>
    </row>
    <row r="4789" spans="1:38" s="11" customFormat="1" x14ac:dyDescent="0.25">
      <c r="A4789" s="3"/>
      <c r="F4789" s="19"/>
      <c r="G4789" s="19"/>
      <c r="N4789" s="19"/>
      <c r="P4789" s="19"/>
      <c r="AL4789" s="19"/>
    </row>
    <row r="4790" spans="1:38" s="11" customFormat="1" x14ac:dyDescent="0.25">
      <c r="A4790" s="3"/>
      <c r="F4790" s="19"/>
      <c r="G4790" s="19"/>
      <c r="N4790" s="19"/>
      <c r="P4790" s="19"/>
      <c r="AL4790" s="19"/>
    </row>
    <row r="4791" spans="1:38" s="11" customFormat="1" x14ac:dyDescent="0.25">
      <c r="A4791" s="3"/>
      <c r="F4791" s="19"/>
      <c r="G4791" s="19"/>
      <c r="N4791" s="19"/>
      <c r="P4791" s="19"/>
      <c r="AL4791" s="19"/>
    </row>
    <row r="4792" spans="1:38" s="11" customFormat="1" x14ac:dyDescent="0.25">
      <c r="A4792" s="3"/>
      <c r="F4792" s="19"/>
      <c r="G4792" s="19"/>
      <c r="N4792" s="19"/>
      <c r="P4792" s="19"/>
      <c r="AL4792" s="19"/>
    </row>
    <row r="4793" spans="1:38" s="11" customFormat="1" x14ac:dyDescent="0.25">
      <c r="A4793" s="3"/>
      <c r="F4793" s="19"/>
      <c r="G4793" s="19"/>
      <c r="N4793" s="19"/>
      <c r="P4793" s="19"/>
      <c r="AL4793" s="19"/>
    </row>
    <row r="4794" spans="1:38" s="11" customFormat="1" x14ac:dyDescent="0.25">
      <c r="A4794" s="3"/>
      <c r="F4794" s="19"/>
      <c r="G4794" s="19"/>
      <c r="N4794" s="19"/>
      <c r="P4794" s="19"/>
      <c r="AL4794" s="19"/>
    </row>
    <row r="4795" spans="1:38" s="11" customFormat="1" x14ac:dyDescent="0.25">
      <c r="A4795" s="3"/>
      <c r="F4795" s="19"/>
      <c r="G4795" s="19"/>
      <c r="N4795" s="19"/>
      <c r="P4795" s="19"/>
      <c r="AL4795" s="19"/>
    </row>
    <row r="4796" spans="1:38" s="11" customFormat="1" x14ac:dyDescent="0.25">
      <c r="A4796" s="3"/>
      <c r="F4796" s="19"/>
      <c r="G4796" s="19"/>
      <c r="N4796" s="19"/>
      <c r="P4796" s="19"/>
      <c r="AL4796" s="19"/>
    </row>
    <row r="4797" spans="1:38" s="11" customFormat="1" x14ac:dyDescent="0.25">
      <c r="A4797" s="3"/>
      <c r="F4797" s="19"/>
      <c r="G4797" s="19"/>
      <c r="N4797" s="19"/>
      <c r="P4797" s="19"/>
      <c r="AL4797" s="19"/>
    </row>
    <row r="4798" spans="1:38" s="11" customFormat="1" x14ac:dyDescent="0.25">
      <c r="A4798" s="3"/>
      <c r="F4798" s="19"/>
      <c r="G4798" s="19"/>
      <c r="N4798" s="19"/>
      <c r="P4798" s="19"/>
      <c r="AL4798" s="19"/>
    </row>
    <row r="4799" spans="1:38" s="11" customFormat="1" x14ac:dyDescent="0.25">
      <c r="A4799" s="3"/>
      <c r="F4799" s="19"/>
      <c r="G4799" s="19"/>
      <c r="N4799" s="19"/>
      <c r="P4799" s="19"/>
      <c r="AL4799" s="19"/>
    </row>
    <row r="4800" spans="1:38" s="11" customFormat="1" x14ac:dyDescent="0.25">
      <c r="A4800" s="3"/>
      <c r="F4800" s="19"/>
      <c r="G4800" s="19"/>
      <c r="N4800" s="19"/>
      <c r="P4800" s="19"/>
      <c r="AL4800" s="19"/>
    </row>
    <row r="4801" spans="1:38" s="11" customFormat="1" x14ac:dyDescent="0.25">
      <c r="A4801" s="3"/>
      <c r="F4801" s="19"/>
      <c r="G4801" s="19"/>
      <c r="N4801" s="19"/>
      <c r="P4801" s="19"/>
      <c r="AL4801" s="19"/>
    </row>
    <row r="4802" spans="1:38" s="11" customFormat="1" x14ac:dyDescent="0.25">
      <c r="A4802" s="3"/>
      <c r="F4802" s="19"/>
      <c r="G4802" s="19"/>
      <c r="N4802" s="19"/>
      <c r="P4802" s="19"/>
      <c r="AL4802" s="19"/>
    </row>
    <row r="4803" spans="1:38" s="11" customFormat="1" x14ac:dyDescent="0.25">
      <c r="A4803" s="3"/>
      <c r="F4803" s="19"/>
      <c r="G4803" s="19"/>
      <c r="N4803" s="19"/>
      <c r="P4803" s="19"/>
      <c r="AL4803" s="19"/>
    </row>
    <row r="4804" spans="1:38" s="11" customFormat="1" x14ac:dyDescent="0.25">
      <c r="A4804" s="3"/>
      <c r="F4804" s="19"/>
      <c r="G4804" s="19"/>
      <c r="N4804" s="19"/>
      <c r="P4804" s="19"/>
      <c r="AL4804" s="19"/>
    </row>
    <row r="4805" spans="1:38" s="11" customFormat="1" x14ac:dyDescent="0.25">
      <c r="A4805" s="3"/>
      <c r="F4805" s="19"/>
      <c r="G4805" s="19"/>
      <c r="N4805" s="19"/>
      <c r="P4805" s="19"/>
      <c r="AL4805" s="19"/>
    </row>
    <row r="4806" spans="1:38" s="11" customFormat="1" x14ac:dyDescent="0.25">
      <c r="A4806" s="3"/>
      <c r="F4806" s="19"/>
      <c r="G4806" s="19"/>
      <c r="N4806" s="19"/>
      <c r="P4806" s="19"/>
      <c r="AL4806" s="19"/>
    </row>
    <row r="4807" spans="1:38" s="11" customFormat="1" x14ac:dyDescent="0.25">
      <c r="A4807" s="3"/>
      <c r="F4807" s="19"/>
      <c r="G4807" s="19"/>
      <c r="N4807" s="19"/>
      <c r="P4807" s="19"/>
      <c r="AL4807" s="19"/>
    </row>
    <row r="4808" spans="1:38" s="11" customFormat="1" x14ac:dyDescent="0.25">
      <c r="A4808" s="3"/>
      <c r="F4808" s="19"/>
      <c r="G4808" s="19"/>
      <c r="N4808" s="19"/>
      <c r="P4808" s="19"/>
      <c r="AL4808" s="19"/>
    </row>
    <row r="4809" spans="1:38" s="11" customFormat="1" x14ac:dyDescent="0.25">
      <c r="A4809" s="3"/>
      <c r="F4809" s="19"/>
      <c r="G4809" s="19"/>
      <c r="N4809" s="19"/>
      <c r="P4809" s="19"/>
      <c r="AL4809" s="19"/>
    </row>
    <row r="4810" spans="1:38" s="11" customFormat="1" x14ac:dyDescent="0.25">
      <c r="A4810" s="3"/>
      <c r="F4810" s="19"/>
      <c r="G4810" s="19"/>
      <c r="N4810" s="19"/>
      <c r="P4810" s="19"/>
      <c r="AL4810" s="19"/>
    </row>
    <row r="4811" spans="1:38" s="11" customFormat="1" x14ac:dyDescent="0.25">
      <c r="A4811" s="3"/>
      <c r="F4811" s="19"/>
      <c r="G4811" s="19"/>
      <c r="N4811" s="19"/>
      <c r="P4811" s="19"/>
      <c r="AL4811" s="19"/>
    </row>
    <row r="4812" spans="1:38" s="11" customFormat="1" x14ac:dyDescent="0.25">
      <c r="A4812" s="3"/>
      <c r="F4812" s="19"/>
      <c r="G4812" s="19"/>
      <c r="N4812" s="19"/>
      <c r="P4812" s="19"/>
      <c r="AL4812" s="19"/>
    </row>
    <row r="4813" spans="1:38" s="11" customFormat="1" x14ac:dyDescent="0.25">
      <c r="A4813" s="3"/>
      <c r="F4813" s="19"/>
      <c r="G4813" s="19"/>
      <c r="N4813" s="19"/>
      <c r="P4813" s="19"/>
      <c r="AL4813" s="19"/>
    </row>
    <row r="4814" spans="1:38" s="11" customFormat="1" x14ac:dyDescent="0.25">
      <c r="A4814" s="3"/>
      <c r="F4814" s="19"/>
      <c r="G4814" s="19"/>
      <c r="N4814" s="19"/>
      <c r="P4814" s="19"/>
      <c r="AL4814" s="19"/>
    </row>
    <row r="4815" spans="1:38" s="11" customFormat="1" x14ac:dyDescent="0.25">
      <c r="A4815" s="3"/>
      <c r="F4815" s="19"/>
      <c r="G4815" s="19"/>
      <c r="N4815" s="19"/>
      <c r="P4815" s="19"/>
      <c r="AL4815" s="19"/>
    </row>
    <row r="4816" spans="1:38" s="11" customFormat="1" x14ac:dyDescent="0.25">
      <c r="A4816" s="3"/>
      <c r="F4816" s="19"/>
      <c r="G4816" s="19"/>
      <c r="N4816" s="19"/>
      <c r="P4816" s="19"/>
      <c r="AL4816" s="19"/>
    </row>
    <row r="4817" spans="1:38" s="11" customFormat="1" x14ac:dyDescent="0.25">
      <c r="A4817" s="3"/>
      <c r="F4817" s="19"/>
      <c r="G4817" s="19"/>
      <c r="N4817" s="19"/>
      <c r="P4817" s="19"/>
      <c r="AL4817" s="19"/>
    </row>
    <row r="4818" spans="1:38" s="11" customFormat="1" x14ac:dyDescent="0.25">
      <c r="A4818" s="3"/>
      <c r="F4818" s="19"/>
      <c r="G4818" s="19"/>
      <c r="N4818" s="19"/>
      <c r="P4818" s="19"/>
      <c r="AL4818" s="19"/>
    </row>
    <row r="4819" spans="1:38" s="11" customFormat="1" x14ac:dyDescent="0.25">
      <c r="A4819" s="3"/>
      <c r="F4819" s="19"/>
      <c r="G4819" s="19"/>
      <c r="N4819" s="19"/>
      <c r="P4819" s="19"/>
      <c r="AL4819" s="19"/>
    </row>
    <row r="4820" spans="1:38" s="11" customFormat="1" x14ac:dyDescent="0.25">
      <c r="A4820" s="3"/>
      <c r="F4820" s="19"/>
      <c r="G4820" s="19"/>
      <c r="N4820" s="19"/>
      <c r="P4820" s="19"/>
      <c r="AL4820" s="19"/>
    </row>
    <row r="4821" spans="1:38" s="11" customFormat="1" x14ac:dyDescent="0.25">
      <c r="A4821" s="3"/>
      <c r="F4821" s="19"/>
      <c r="G4821" s="19"/>
      <c r="N4821" s="19"/>
      <c r="P4821" s="19"/>
      <c r="AL4821" s="19"/>
    </row>
    <row r="4822" spans="1:38" s="11" customFormat="1" x14ac:dyDescent="0.25">
      <c r="A4822" s="3"/>
      <c r="F4822" s="19"/>
      <c r="G4822" s="19"/>
      <c r="N4822" s="19"/>
      <c r="P4822" s="19"/>
      <c r="AL4822" s="19"/>
    </row>
    <row r="4823" spans="1:38" s="11" customFormat="1" x14ac:dyDescent="0.25">
      <c r="A4823" s="3"/>
      <c r="F4823" s="19"/>
      <c r="G4823" s="19"/>
      <c r="N4823" s="19"/>
      <c r="P4823" s="19"/>
      <c r="AL4823" s="19"/>
    </row>
    <row r="4824" spans="1:38" s="11" customFormat="1" x14ac:dyDescent="0.25">
      <c r="A4824" s="3"/>
      <c r="F4824" s="19"/>
      <c r="G4824" s="19"/>
      <c r="N4824" s="19"/>
      <c r="P4824" s="19"/>
      <c r="AL4824" s="19"/>
    </row>
    <row r="4825" spans="1:38" s="11" customFormat="1" x14ac:dyDescent="0.25">
      <c r="A4825" s="3"/>
      <c r="F4825" s="19"/>
      <c r="G4825" s="19"/>
      <c r="N4825" s="19"/>
      <c r="P4825" s="19"/>
      <c r="AL4825" s="19"/>
    </row>
    <row r="4826" spans="1:38" s="11" customFormat="1" x14ac:dyDescent="0.25">
      <c r="A4826" s="3"/>
      <c r="F4826" s="19"/>
      <c r="G4826" s="19"/>
      <c r="N4826" s="19"/>
      <c r="P4826" s="19"/>
      <c r="AL4826" s="19"/>
    </row>
    <row r="4827" spans="1:38" s="11" customFormat="1" x14ac:dyDescent="0.25">
      <c r="A4827" s="3"/>
      <c r="F4827" s="19"/>
      <c r="G4827" s="19"/>
      <c r="N4827" s="19"/>
      <c r="P4827" s="19"/>
      <c r="AL4827" s="19"/>
    </row>
    <row r="4828" spans="1:38" s="11" customFormat="1" x14ac:dyDescent="0.25">
      <c r="A4828" s="3"/>
      <c r="F4828" s="19"/>
      <c r="G4828" s="19"/>
      <c r="N4828" s="19"/>
      <c r="P4828" s="19"/>
      <c r="AL4828" s="19"/>
    </row>
    <row r="4829" spans="1:38" s="11" customFormat="1" x14ac:dyDescent="0.25">
      <c r="A4829" s="3"/>
      <c r="F4829" s="19"/>
      <c r="G4829" s="19"/>
      <c r="N4829" s="19"/>
      <c r="P4829" s="19"/>
      <c r="AL4829" s="19"/>
    </row>
    <row r="4830" spans="1:38" s="11" customFormat="1" x14ac:dyDescent="0.25">
      <c r="A4830" s="3"/>
      <c r="F4830" s="19"/>
      <c r="G4830" s="19"/>
      <c r="N4830" s="19"/>
      <c r="P4830" s="19"/>
      <c r="AL4830" s="19"/>
    </row>
    <row r="4831" spans="1:38" s="11" customFormat="1" x14ac:dyDescent="0.25">
      <c r="A4831" s="3"/>
      <c r="F4831" s="19"/>
      <c r="G4831" s="19"/>
      <c r="N4831" s="19"/>
      <c r="P4831" s="19"/>
      <c r="AL4831" s="19"/>
    </row>
    <row r="4832" spans="1:38" s="11" customFormat="1" x14ac:dyDescent="0.25">
      <c r="A4832" s="3"/>
      <c r="F4832" s="19"/>
      <c r="G4832" s="19"/>
      <c r="N4832" s="19"/>
      <c r="P4832" s="19"/>
      <c r="AL4832" s="19"/>
    </row>
    <row r="4833" spans="1:38" s="11" customFormat="1" x14ac:dyDescent="0.25">
      <c r="A4833" s="3"/>
      <c r="F4833" s="19"/>
      <c r="G4833" s="19"/>
      <c r="N4833" s="19"/>
      <c r="P4833" s="19"/>
      <c r="AL4833" s="19"/>
    </row>
    <row r="4834" spans="1:38" s="11" customFormat="1" x14ac:dyDescent="0.25">
      <c r="A4834" s="3"/>
      <c r="F4834" s="19"/>
      <c r="G4834" s="19"/>
      <c r="N4834" s="19"/>
      <c r="P4834" s="19"/>
      <c r="AL4834" s="19"/>
    </row>
    <row r="4835" spans="1:38" s="11" customFormat="1" x14ac:dyDescent="0.25">
      <c r="A4835" s="3"/>
      <c r="F4835" s="19"/>
      <c r="G4835" s="19"/>
      <c r="N4835" s="19"/>
      <c r="P4835" s="19"/>
      <c r="AL4835" s="19"/>
    </row>
    <row r="4836" spans="1:38" s="11" customFormat="1" x14ac:dyDescent="0.25">
      <c r="A4836" s="3"/>
      <c r="F4836" s="19"/>
      <c r="G4836" s="19"/>
      <c r="N4836" s="19"/>
      <c r="P4836" s="19"/>
      <c r="AL4836" s="19"/>
    </row>
    <row r="4837" spans="1:38" s="11" customFormat="1" x14ac:dyDescent="0.25">
      <c r="A4837" s="3"/>
      <c r="F4837" s="19"/>
      <c r="G4837" s="19"/>
      <c r="N4837" s="19"/>
      <c r="P4837" s="19"/>
      <c r="AL4837" s="19"/>
    </row>
    <row r="4838" spans="1:38" s="11" customFormat="1" x14ac:dyDescent="0.25">
      <c r="A4838" s="3"/>
      <c r="F4838" s="19"/>
      <c r="G4838" s="19"/>
      <c r="N4838" s="19"/>
      <c r="P4838" s="19"/>
      <c r="AL4838" s="19"/>
    </row>
    <row r="4839" spans="1:38" s="11" customFormat="1" x14ac:dyDescent="0.25">
      <c r="A4839" s="3"/>
      <c r="F4839" s="19"/>
      <c r="G4839" s="19"/>
      <c r="N4839" s="19"/>
      <c r="P4839" s="19"/>
      <c r="AL4839" s="19"/>
    </row>
    <row r="4840" spans="1:38" s="11" customFormat="1" x14ac:dyDescent="0.25">
      <c r="A4840" s="3"/>
      <c r="F4840" s="19"/>
      <c r="G4840" s="19"/>
      <c r="N4840" s="19"/>
      <c r="P4840" s="19"/>
      <c r="AL4840" s="19"/>
    </row>
    <row r="4841" spans="1:38" s="11" customFormat="1" x14ac:dyDescent="0.25">
      <c r="A4841" s="3"/>
      <c r="F4841" s="19"/>
      <c r="G4841" s="19"/>
      <c r="N4841" s="19"/>
      <c r="P4841" s="19"/>
      <c r="AL4841" s="19"/>
    </row>
    <row r="4842" spans="1:38" s="11" customFormat="1" x14ac:dyDescent="0.25">
      <c r="A4842" s="3"/>
      <c r="F4842" s="19"/>
      <c r="G4842" s="19"/>
      <c r="N4842" s="19"/>
      <c r="P4842" s="19"/>
      <c r="AL4842" s="19"/>
    </row>
    <row r="4843" spans="1:38" s="11" customFormat="1" x14ac:dyDescent="0.25">
      <c r="A4843" s="3"/>
      <c r="F4843" s="19"/>
      <c r="G4843" s="19"/>
      <c r="N4843" s="19"/>
      <c r="P4843" s="19"/>
      <c r="AL4843" s="19"/>
    </row>
    <row r="4844" spans="1:38" s="11" customFormat="1" x14ac:dyDescent="0.25">
      <c r="A4844" s="3"/>
      <c r="F4844" s="19"/>
      <c r="G4844" s="19"/>
      <c r="N4844" s="19"/>
      <c r="P4844" s="19"/>
      <c r="AL4844" s="19"/>
    </row>
    <row r="4845" spans="1:38" s="11" customFormat="1" x14ac:dyDescent="0.25">
      <c r="A4845" s="3"/>
      <c r="F4845" s="19"/>
      <c r="G4845" s="19"/>
      <c r="N4845" s="19"/>
      <c r="P4845" s="19"/>
      <c r="AL4845" s="19"/>
    </row>
    <row r="4846" spans="1:38" s="11" customFormat="1" x14ac:dyDescent="0.25">
      <c r="A4846" s="3"/>
      <c r="F4846" s="19"/>
      <c r="G4846" s="19"/>
      <c r="N4846" s="19"/>
      <c r="P4846" s="19"/>
      <c r="AL4846" s="19"/>
    </row>
    <row r="4847" spans="1:38" s="11" customFormat="1" x14ac:dyDescent="0.25">
      <c r="A4847" s="3"/>
      <c r="F4847" s="19"/>
      <c r="G4847" s="19"/>
      <c r="N4847" s="19"/>
      <c r="P4847" s="19"/>
      <c r="AL4847" s="19"/>
    </row>
    <row r="4848" spans="1:38" s="11" customFormat="1" x14ac:dyDescent="0.25">
      <c r="A4848" s="3"/>
      <c r="F4848" s="19"/>
      <c r="G4848" s="19"/>
      <c r="N4848" s="19"/>
      <c r="P4848" s="19"/>
      <c r="AL4848" s="19"/>
    </row>
    <row r="4849" spans="1:38" s="11" customFormat="1" x14ac:dyDescent="0.25">
      <c r="A4849" s="3"/>
      <c r="F4849" s="19"/>
      <c r="G4849" s="19"/>
      <c r="N4849" s="19"/>
      <c r="P4849" s="19"/>
      <c r="AL4849" s="19"/>
    </row>
    <row r="4850" spans="1:38" s="11" customFormat="1" x14ac:dyDescent="0.25">
      <c r="A4850" s="3"/>
      <c r="F4850" s="19"/>
      <c r="G4850" s="19"/>
      <c r="N4850" s="19"/>
      <c r="P4850" s="19"/>
      <c r="AL4850" s="19"/>
    </row>
    <row r="4851" spans="1:38" s="11" customFormat="1" x14ac:dyDescent="0.25">
      <c r="A4851" s="3"/>
      <c r="F4851" s="19"/>
      <c r="G4851" s="19"/>
      <c r="N4851" s="19"/>
      <c r="P4851" s="19"/>
      <c r="AL4851" s="19"/>
    </row>
    <row r="4852" spans="1:38" s="11" customFormat="1" x14ac:dyDescent="0.25">
      <c r="A4852" s="3"/>
      <c r="F4852" s="19"/>
      <c r="G4852" s="19"/>
      <c r="N4852" s="19"/>
      <c r="P4852" s="19"/>
      <c r="AL4852" s="19"/>
    </row>
    <row r="4853" spans="1:38" s="11" customFormat="1" x14ac:dyDescent="0.25">
      <c r="A4853" s="3"/>
      <c r="F4853" s="19"/>
      <c r="G4853" s="19"/>
      <c r="N4853" s="19"/>
      <c r="P4853" s="19"/>
      <c r="AL4853" s="19"/>
    </row>
    <row r="4854" spans="1:38" s="11" customFormat="1" x14ac:dyDescent="0.25">
      <c r="A4854" s="3"/>
      <c r="F4854" s="19"/>
      <c r="G4854" s="19"/>
      <c r="N4854" s="19"/>
      <c r="P4854" s="19"/>
      <c r="AL4854" s="19"/>
    </row>
    <row r="4855" spans="1:38" s="11" customFormat="1" x14ac:dyDescent="0.25">
      <c r="A4855" s="3"/>
      <c r="F4855" s="19"/>
      <c r="G4855" s="19"/>
      <c r="N4855" s="19"/>
      <c r="P4855" s="19"/>
      <c r="AL4855" s="19"/>
    </row>
    <row r="4856" spans="1:38" s="11" customFormat="1" x14ac:dyDescent="0.25">
      <c r="A4856" s="3"/>
      <c r="F4856" s="19"/>
      <c r="G4856" s="19"/>
      <c r="N4856" s="19"/>
      <c r="P4856" s="19"/>
      <c r="AL4856" s="19"/>
    </row>
    <row r="4857" spans="1:38" s="11" customFormat="1" x14ac:dyDescent="0.25">
      <c r="A4857" s="3"/>
      <c r="F4857" s="19"/>
      <c r="G4857" s="19"/>
      <c r="N4857" s="19"/>
      <c r="P4857" s="19"/>
      <c r="AL4857" s="19"/>
    </row>
    <row r="4858" spans="1:38" s="11" customFormat="1" x14ac:dyDescent="0.25">
      <c r="A4858" s="3"/>
      <c r="F4858" s="19"/>
      <c r="G4858" s="19"/>
      <c r="N4858" s="19"/>
      <c r="P4858" s="19"/>
      <c r="AL4858" s="19"/>
    </row>
    <row r="4859" spans="1:38" s="11" customFormat="1" x14ac:dyDescent="0.25">
      <c r="A4859" s="3"/>
      <c r="F4859" s="19"/>
      <c r="G4859" s="19"/>
      <c r="N4859" s="19"/>
      <c r="P4859" s="19"/>
      <c r="AL4859" s="19"/>
    </row>
    <row r="4860" spans="1:38" s="11" customFormat="1" x14ac:dyDescent="0.25">
      <c r="A4860" s="3"/>
      <c r="F4860" s="19"/>
      <c r="G4860" s="19"/>
      <c r="N4860" s="19"/>
      <c r="P4860" s="19"/>
      <c r="AL4860" s="19"/>
    </row>
    <row r="4861" spans="1:38" s="11" customFormat="1" x14ac:dyDescent="0.25">
      <c r="A4861" s="3"/>
      <c r="F4861" s="19"/>
      <c r="G4861" s="19"/>
      <c r="N4861" s="19"/>
      <c r="P4861" s="19"/>
      <c r="AL4861" s="19"/>
    </row>
    <row r="4862" spans="1:38" s="11" customFormat="1" x14ac:dyDescent="0.25">
      <c r="A4862" s="3"/>
      <c r="F4862" s="19"/>
      <c r="G4862" s="19"/>
      <c r="N4862" s="19"/>
      <c r="P4862" s="19"/>
      <c r="AL4862" s="19"/>
    </row>
    <row r="4863" spans="1:38" s="11" customFormat="1" x14ac:dyDescent="0.25">
      <c r="A4863" s="3"/>
      <c r="F4863" s="19"/>
      <c r="G4863" s="19"/>
      <c r="N4863" s="19"/>
      <c r="P4863" s="19"/>
      <c r="AL4863" s="19"/>
    </row>
    <row r="4864" spans="1:38" s="11" customFormat="1" x14ac:dyDescent="0.25">
      <c r="A4864" s="3"/>
      <c r="F4864" s="19"/>
      <c r="G4864" s="19"/>
      <c r="N4864" s="19"/>
      <c r="P4864" s="19"/>
      <c r="AL4864" s="19"/>
    </row>
    <row r="4865" spans="1:38" s="11" customFormat="1" x14ac:dyDescent="0.25">
      <c r="A4865" s="3"/>
      <c r="F4865" s="19"/>
      <c r="G4865" s="19"/>
      <c r="N4865" s="19"/>
      <c r="P4865" s="19"/>
      <c r="AL4865" s="19"/>
    </row>
    <row r="4866" spans="1:38" s="11" customFormat="1" x14ac:dyDescent="0.25">
      <c r="A4866" s="3"/>
      <c r="F4866" s="19"/>
      <c r="G4866" s="19"/>
      <c r="N4866" s="19"/>
      <c r="P4866" s="19"/>
      <c r="AL4866" s="19"/>
    </row>
    <row r="4867" spans="1:38" s="11" customFormat="1" x14ac:dyDescent="0.25">
      <c r="A4867" s="3"/>
      <c r="F4867" s="19"/>
      <c r="G4867" s="19"/>
      <c r="N4867" s="19"/>
      <c r="P4867" s="19"/>
      <c r="AL4867" s="19"/>
    </row>
    <row r="4868" spans="1:38" s="11" customFormat="1" x14ac:dyDescent="0.25">
      <c r="A4868" s="3"/>
      <c r="F4868" s="19"/>
      <c r="G4868" s="19"/>
      <c r="N4868" s="19"/>
      <c r="P4868" s="19"/>
      <c r="AL4868" s="19"/>
    </row>
    <row r="4869" spans="1:38" s="11" customFormat="1" x14ac:dyDescent="0.25">
      <c r="A4869" s="3"/>
      <c r="F4869" s="19"/>
      <c r="G4869" s="19"/>
      <c r="N4869" s="19"/>
      <c r="P4869" s="19"/>
      <c r="AL4869" s="19"/>
    </row>
    <row r="4870" spans="1:38" s="11" customFormat="1" x14ac:dyDescent="0.25">
      <c r="A4870" s="3"/>
      <c r="F4870" s="19"/>
      <c r="G4870" s="19"/>
      <c r="N4870" s="19"/>
      <c r="P4870" s="19"/>
      <c r="AL4870" s="19"/>
    </row>
    <row r="4871" spans="1:38" s="11" customFormat="1" x14ac:dyDescent="0.25">
      <c r="A4871" s="3"/>
      <c r="F4871" s="19"/>
      <c r="G4871" s="19"/>
      <c r="N4871" s="19"/>
      <c r="P4871" s="19"/>
      <c r="AL4871" s="19"/>
    </row>
    <row r="4872" spans="1:38" s="11" customFormat="1" x14ac:dyDescent="0.25">
      <c r="A4872" s="3"/>
      <c r="F4872" s="19"/>
      <c r="G4872" s="19"/>
      <c r="N4872" s="19"/>
      <c r="P4872" s="19"/>
      <c r="AL4872" s="19"/>
    </row>
    <row r="4873" spans="1:38" s="11" customFormat="1" x14ac:dyDescent="0.25">
      <c r="A4873" s="3"/>
      <c r="F4873" s="19"/>
      <c r="G4873" s="19"/>
      <c r="N4873" s="19"/>
      <c r="P4873" s="19"/>
      <c r="AL4873" s="19"/>
    </row>
    <row r="4874" spans="1:38" s="11" customFormat="1" x14ac:dyDescent="0.25">
      <c r="A4874" s="3"/>
      <c r="F4874" s="19"/>
      <c r="G4874" s="19"/>
      <c r="N4874" s="19"/>
      <c r="P4874" s="19"/>
      <c r="AL4874" s="19"/>
    </row>
    <row r="4875" spans="1:38" s="11" customFormat="1" x14ac:dyDescent="0.25">
      <c r="A4875" s="3"/>
      <c r="F4875" s="19"/>
      <c r="G4875" s="19"/>
      <c r="N4875" s="19"/>
      <c r="P4875" s="19"/>
      <c r="AL4875" s="19"/>
    </row>
    <row r="4876" spans="1:38" s="11" customFormat="1" x14ac:dyDescent="0.25">
      <c r="A4876" s="3"/>
      <c r="F4876" s="19"/>
      <c r="G4876" s="19"/>
      <c r="N4876" s="19"/>
      <c r="P4876" s="19"/>
      <c r="AL4876" s="19"/>
    </row>
    <row r="4877" spans="1:38" s="11" customFormat="1" x14ac:dyDescent="0.25">
      <c r="A4877" s="3"/>
      <c r="F4877" s="19"/>
      <c r="G4877" s="19"/>
      <c r="N4877" s="19"/>
      <c r="P4877" s="19"/>
      <c r="AL4877" s="19"/>
    </row>
    <row r="4878" spans="1:38" s="11" customFormat="1" x14ac:dyDescent="0.25">
      <c r="A4878" s="3"/>
      <c r="F4878" s="19"/>
      <c r="G4878" s="19"/>
      <c r="N4878" s="19"/>
      <c r="P4878" s="19"/>
      <c r="AL4878" s="19"/>
    </row>
    <row r="4879" spans="1:38" s="11" customFormat="1" x14ac:dyDescent="0.25">
      <c r="A4879" s="3"/>
      <c r="F4879" s="19"/>
      <c r="G4879" s="19"/>
      <c r="N4879" s="19"/>
      <c r="P4879" s="19"/>
      <c r="AL4879" s="19"/>
    </row>
    <row r="4880" spans="1:38" s="11" customFormat="1" x14ac:dyDescent="0.25">
      <c r="A4880" s="3"/>
      <c r="F4880" s="19"/>
      <c r="G4880" s="19"/>
      <c r="N4880" s="19"/>
      <c r="P4880" s="19"/>
      <c r="AL4880" s="19"/>
    </row>
    <row r="4881" spans="1:38" s="11" customFormat="1" x14ac:dyDescent="0.25">
      <c r="A4881" s="3"/>
      <c r="F4881" s="19"/>
      <c r="G4881" s="19"/>
      <c r="N4881" s="19"/>
      <c r="P4881" s="19"/>
      <c r="AL4881" s="19"/>
    </row>
    <row r="4882" spans="1:38" s="11" customFormat="1" x14ac:dyDescent="0.25">
      <c r="A4882" s="3"/>
      <c r="F4882" s="19"/>
      <c r="G4882" s="19"/>
      <c r="N4882" s="19"/>
      <c r="P4882" s="19"/>
      <c r="AL4882" s="19"/>
    </row>
    <row r="4883" spans="1:38" s="11" customFormat="1" x14ac:dyDescent="0.25">
      <c r="A4883" s="3"/>
      <c r="F4883" s="19"/>
      <c r="G4883" s="19"/>
      <c r="N4883" s="19"/>
      <c r="P4883" s="19"/>
      <c r="AL4883" s="19"/>
    </row>
    <row r="4884" spans="1:38" s="11" customFormat="1" x14ac:dyDescent="0.25">
      <c r="A4884" s="3"/>
      <c r="F4884" s="19"/>
      <c r="G4884" s="19"/>
      <c r="N4884" s="19"/>
      <c r="P4884" s="19"/>
      <c r="AL4884" s="19"/>
    </row>
    <row r="4885" spans="1:38" s="11" customFormat="1" x14ac:dyDescent="0.25">
      <c r="A4885" s="3"/>
      <c r="F4885" s="19"/>
      <c r="G4885" s="19"/>
      <c r="N4885" s="19"/>
      <c r="P4885" s="19"/>
      <c r="AL4885" s="19"/>
    </row>
    <row r="4886" spans="1:38" s="11" customFormat="1" x14ac:dyDescent="0.25">
      <c r="A4886" s="3"/>
      <c r="F4886" s="19"/>
      <c r="G4886" s="19"/>
      <c r="N4886" s="19"/>
      <c r="P4886" s="19"/>
      <c r="AL4886" s="19"/>
    </row>
    <row r="4887" spans="1:38" s="11" customFormat="1" x14ac:dyDescent="0.25">
      <c r="A4887" s="3"/>
      <c r="F4887" s="19"/>
      <c r="G4887" s="19"/>
      <c r="N4887" s="19"/>
      <c r="P4887" s="19"/>
      <c r="AL4887" s="19"/>
    </row>
    <row r="4888" spans="1:38" s="11" customFormat="1" x14ac:dyDescent="0.25">
      <c r="A4888" s="3"/>
      <c r="F4888" s="19"/>
      <c r="G4888" s="19"/>
      <c r="N4888" s="19"/>
      <c r="P4888" s="19"/>
      <c r="AL4888" s="19"/>
    </row>
    <row r="4889" spans="1:38" s="11" customFormat="1" x14ac:dyDescent="0.25">
      <c r="A4889" s="3"/>
      <c r="F4889" s="19"/>
      <c r="G4889" s="19"/>
      <c r="N4889" s="19"/>
      <c r="P4889" s="19"/>
      <c r="AL4889" s="19"/>
    </row>
    <row r="4890" spans="1:38" s="11" customFormat="1" x14ac:dyDescent="0.25">
      <c r="A4890" s="3"/>
      <c r="F4890" s="19"/>
      <c r="G4890" s="19"/>
      <c r="N4890" s="19"/>
      <c r="P4890" s="19"/>
      <c r="AL4890" s="19"/>
    </row>
    <row r="4891" spans="1:38" s="11" customFormat="1" x14ac:dyDescent="0.25">
      <c r="A4891" s="3"/>
      <c r="F4891" s="19"/>
      <c r="G4891" s="19"/>
      <c r="N4891" s="19"/>
      <c r="P4891" s="19"/>
      <c r="AL4891" s="19"/>
    </row>
    <row r="4892" spans="1:38" s="11" customFormat="1" x14ac:dyDescent="0.25">
      <c r="A4892" s="3"/>
      <c r="F4892" s="19"/>
      <c r="G4892" s="19"/>
      <c r="N4892" s="19"/>
      <c r="P4892" s="19"/>
      <c r="AL4892" s="19"/>
    </row>
    <row r="4893" spans="1:38" s="11" customFormat="1" x14ac:dyDescent="0.25">
      <c r="A4893" s="3"/>
      <c r="F4893" s="19"/>
      <c r="G4893" s="19"/>
      <c r="N4893" s="19"/>
      <c r="P4893" s="19"/>
      <c r="AL4893" s="19"/>
    </row>
    <row r="4894" spans="1:38" s="11" customFormat="1" x14ac:dyDescent="0.25">
      <c r="A4894" s="3"/>
      <c r="F4894" s="19"/>
      <c r="G4894" s="19"/>
      <c r="N4894" s="19"/>
      <c r="P4894" s="19"/>
      <c r="AL4894" s="19"/>
    </row>
    <row r="4895" spans="1:38" s="11" customFormat="1" x14ac:dyDescent="0.25">
      <c r="A4895" s="3"/>
      <c r="F4895" s="19"/>
      <c r="G4895" s="19"/>
      <c r="N4895" s="19"/>
      <c r="P4895" s="19"/>
      <c r="AL4895" s="19"/>
    </row>
    <row r="4896" spans="1:38" s="11" customFormat="1" x14ac:dyDescent="0.25">
      <c r="A4896" s="3"/>
      <c r="F4896" s="19"/>
      <c r="G4896" s="19"/>
      <c r="N4896" s="19"/>
      <c r="P4896" s="19"/>
      <c r="AL4896" s="19"/>
    </row>
    <row r="4897" spans="1:38" s="11" customFormat="1" x14ac:dyDescent="0.25">
      <c r="A4897" s="3"/>
      <c r="F4897" s="19"/>
      <c r="G4897" s="19"/>
      <c r="N4897" s="19"/>
      <c r="P4897" s="19"/>
      <c r="AL4897" s="19"/>
    </row>
    <row r="4898" spans="1:38" s="11" customFormat="1" x14ac:dyDescent="0.25">
      <c r="A4898" s="3"/>
      <c r="F4898" s="19"/>
      <c r="G4898" s="19"/>
      <c r="N4898" s="19"/>
      <c r="P4898" s="19"/>
      <c r="AL4898" s="19"/>
    </row>
    <row r="4899" spans="1:38" s="11" customFormat="1" x14ac:dyDescent="0.25">
      <c r="A4899" s="3"/>
      <c r="F4899" s="19"/>
      <c r="G4899" s="19"/>
      <c r="N4899" s="19"/>
      <c r="P4899" s="19"/>
      <c r="AL4899" s="19"/>
    </row>
    <row r="4900" spans="1:38" s="11" customFormat="1" x14ac:dyDescent="0.25">
      <c r="A4900" s="3"/>
      <c r="F4900" s="19"/>
      <c r="G4900" s="19"/>
      <c r="N4900" s="19"/>
      <c r="P4900" s="19"/>
      <c r="AL4900" s="19"/>
    </row>
    <row r="4901" spans="1:38" s="11" customFormat="1" x14ac:dyDescent="0.25">
      <c r="A4901" s="3"/>
      <c r="F4901" s="19"/>
      <c r="G4901" s="19"/>
      <c r="N4901" s="19"/>
      <c r="P4901" s="19"/>
      <c r="AL4901" s="19"/>
    </row>
    <row r="4902" spans="1:38" s="11" customFormat="1" x14ac:dyDescent="0.25">
      <c r="A4902" s="3"/>
      <c r="F4902" s="19"/>
      <c r="G4902" s="19"/>
      <c r="N4902" s="19"/>
      <c r="P4902" s="19"/>
      <c r="AL4902" s="19"/>
    </row>
    <row r="4903" spans="1:38" s="11" customFormat="1" x14ac:dyDescent="0.25">
      <c r="A4903" s="3"/>
      <c r="F4903" s="19"/>
      <c r="G4903" s="19"/>
      <c r="N4903" s="19"/>
      <c r="P4903" s="19"/>
      <c r="AL4903" s="19"/>
    </row>
    <row r="4904" spans="1:38" s="11" customFormat="1" x14ac:dyDescent="0.25">
      <c r="A4904" s="3"/>
      <c r="F4904" s="19"/>
      <c r="G4904" s="19"/>
      <c r="N4904" s="19"/>
      <c r="P4904" s="19"/>
      <c r="AL4904" s="19"/>
    </row>
    <row r="4905" spans="1:38" s="11" customFormat="1" x14ac:dyDescent="0.25">
      <c r="A4905" s="3"/>
      <c r="F4905" s="19"/>
      <c r="G4905" s="19"/>
      <c r="N4905" s="19"/>
      <c r="P4905" s="19"/>
      <c r="AL4905" s="19"/>
    </row>
    <row r="4906" spans="1:38" s="11" customFormat="1" x14ac:dyDescent="0.25">
      <c r="A4906" s="3"/>
      <c r="F4906" s="19"/>
      <c r="G4906" s="19"/>
      <c r="N4906" s="19"/>
      <c r="P4906" s="19"/>
      <c r="AL4906" s="19"/>
    </row>
    <row r="4907" spans="1:38" s="11" customFormat="1" x14ac:dyDescent="0.25">
      <c r="A4907" s="3"/>
      <c r="F4907" s="19"/>
      <c r="G4907" s="19"/>
      <c r="N4907" s="19"/>
      <c r="P4907" s="19"/>
      <c r="AL4907" s="19"/>
    </row>
    <row r="4908" spans="1:38" s="11" customFormat="1" x14ac:dyDescent="0.25">
      <c r="A4908" s="3"/>
      <c r="F4908" s="19"/>
      <c r="G4908" s="19"/>
      <c r="N4908" s="19"/>
      <c r="P4908" s="19"/>
      <c r="AL4908" s="19"/>
    </row>
    <row r="4909" spans="1:38" s="11" customFormat="1" x14ac:dyDescent="0.25">
      <c r="A4909" s="3"/>
      <c r="F4909" s="19"/>
      <c r="G4909" s="19"/>
      <c r="N4909" s="19"/>
      <c r="P4909" s="19"/>
      <c r="AL4909" s="19"/>
    </row>
    <row r="4910" spans="1:38" s="11" customFormat="1" x14ac:dyDescent="0.25">
      <c r="A4910" s="3"/>
      <c r="F4910" s="19"/>
      <c r="G4910" s="19"/>
      <c r="N4910" s="19"/>
      <c r="P4910" s="19"/>
      <c r="AL4910" s="19"/>
    </row>
    <row r="4911" spans="1:38" s="11" customFormat="1" x14ac:dyDescent="0.25">
      <c r="A4911" s="3"/>
      <c r="F4911" s="19"/>
      <c r="G4911" s="19"/>
      <c r="N4911" s="19"/>
      <c r="P4911" s="19"/>
      <c r="AL4911" s="19"/>
    </row>
    <row r="4912" spans="1:38" s="11" customFormat="1" x14ac:dyDescent="0.25">
      <c r="A4912" s="3"/>
      <c r="F4912" s="19"/>
      <c r="G4912" s="19"/>
      <c r="N4912" s="19"/>
      <c r="P4912" s="19"/>
      <c r="AL4912" s="19"/>
    </row>
    <row r="4913" spans="1:38" s="11" customFormat="1" x14ac:dyDescent="0.25">
      <c r="A4913" s="3"/>
      <c r="F4913" s="19"/>
      <c r="G4913" s="19"/>
      <c r="N4913" s="19"/>
      <c r="P4913" s="19"/>
      <c r="AL4913" s="19"/>
    </row>
    <row r="4914" spans="1:38" s="11" customFormat="1" x14ac:dyDescent="0.25">
      <c r="A4914" s="3"/>
      <c r="F4914" s="19"/>
      <c r="G4914" s="19"/>
      <c r="N4914" s="19"/>
      <c r="P4914" s="19"/>
      <c r="AL4914" s="19"/>
    </row>
    <row r="4915" spans="1:38" s="11" customFormat="1" x14ac:dyDescent="0.25">
      <c r="A4915" s="3"/>
      <c r="F4915" s="19"/>
      <c r="G4915" s="19"/>
      <c r="N4915" s="19"/>
      <c r="P4915" s="19"/>
      <c r="AL4915" s="19"/>
    </row>
    <row r="4916" spans="1:38" s="11" customFormat="1" x14ac:dyDescent="0.25">
      <c r="A4916" s="3"/>
      <c r="F4916" s="19"/>
      <c r="G4916" s="19"/>
      <c r="N4916" s="19"/>
      <c r="P4916" s="19"/>
      <c r="AL4916" s="19"/>
    </row>
    <row r="4917" spans="1:38" s="11" customFormat="1" x14ac:dyDescent="0.25">
      <c r="A4917" s="3"/>
      <c r="F4917" s="19"/>
      <c r="G4917" s="19"/>
      <c r="N4917" s="19"/>
      <c r="P4917" s="19"/>
      <c r="AL4917" s="19"/>
    </row>
    <row r="4918" spans="1:38" s="11" customFormat="1" x14ac:dyDescent="0.25">
      <c r="A4918" s="3"/>
      <c r="F4918" s="19"/>
      <c r="G4918" s="19"/>
      <c r="N4918" s="19"/>
      <c r="P4918" s="19"/>
      <c r="AL4918" s="19"/>
    </row>
    <row r="4919" spans="1:38" s="11" customFormat="1" x14ac:dyDescent="0.25">
      <c r="A4919" s="3"/>
      <c r="F4919" s="19"/>
      <c r="G4919" s="19"/>
      <c r="N4919" s="19"/>
      <c r="P4919" s="19"/>
      <c r="AL4919" s="19"/>
    </row>
    <row r="4920" spans="1:38" s="11" customFormat="1" x14ac:dyDescent="0.25">
      <c r="A4920" s="3"/>
      <c r="F4920" s="19"/>
      <c r="G4920" s="19"/>
      <c r="N4920" s="19"/>
      <c r="P4920" s="19"/>
      <c r="AL4920" s="19"/>
    </row>
    <row r="4921" spans="1:38" s="11" customFormat="1" x14ac:dyDescent="0.25">
      <c r="A4921" s="3"/>
      <c r="F4921" s="19"/>
      <c r="G4921" s="19"/>
      <c r="N4921" s="19"/>
      <c r="P4921" s="19"/>
      <c r="AL4921" s="19"/>
    </row>
    <row r="4922" spans="1:38" s="11" customFormat="1" x14ac:dyDescent="0.25">
      <c r="A4922" s="3"/>
      <c r="F4922" s="19"/>
      <c r="G4922" s="19"/>
      <c r="N4922" s="19"/>
      <c r="P4922" s="19"/>
      <c r="AL4922" s="19"/>
    </row>
    <row r="4923" spans="1:38" s="11" customFormat="1" x14ac:dyDescent="0.25">
      <c r="A4923" s="3"/>
      <c r="F4923" s="19"/>
      <c r="G4923" s="19"/>
      <c r="N4923" s="19"/>
      <c r="P4923" s="19"/>
      <c r="AL4923" s="19"/>
    </row>
    <row r="4924" spans="1:38" s="11" customFormat="1" x14ac:dyDescent="0.25">
      <c r="A4924" s="3"/>
      <c r="F4924" s="19"/>
      <c r="G4924" s="19"/>
      <c r="N4924" s="19"/>
      <c r="P4924" s="19"/>
      <c r="AL4924" s="19"/>
    </row>
    <row r="4925" spans="1:38" s="11" customFormat="1" x14ac:dyDescent="0.25">
      <c r="A4925" s="3"/>
      <c r="F4925" s="19"/>
      <c r="G4925" s="19"/>
      <c r="N4925" s="19"/>
      <c r="P4925" s="19"/>
      <c r="AL4925" s="19"/>
    </row>
    <row r="4926" spans="1:38" s="11" customFormat="1" x14ac:dyDescent="0.25">
      <c r="A4926" s="3"/>
      <c r="F4926" s="19"/>
      <c r="G4926" s="19"/>
      <c r="N4926" s="19"/>
      <c r="P4926" s="19"/>
      <c r="AL4926" s="19"/>
    </row>
    <row r="4927" spans="1:38" s="11" customFormat="1" x14ac:dyDescent="0.25">
      <c r="A4927" s="3"/>
      <c r="F4927" s="19"/>
      <c r="G4927" s="19"/>
      <c r="N4927" s="19"/>
      <c r="P4927" s="19"/>
      <c r="AL4927" s="19"/>
    </row>
    <row r="4928" spans="1:38" s="11" customFormat="1" x14ac:dyDescent="0.25">
      <c r="A4928" s="3"/>
      <c r="F4928" s="19"/>
      <c r="G4928" s="19"/>
      <c r="N4928" s="19"/>
      <c r="P4928" s="19"/>
      <c r="AL4928" s="19"/>
    </row>
    <row r="4929" spans="1:38" s="11" customFormat="1" x14ac:dyDescent="0.25">
      <c r="A4929" s="3"/>
      <c r="F4929" s="19"/>
      <c r="G4929" s="19"/>
      <c r="N4929" s="19"/>
      <c r="P4929" s="19"/>
      <c r="AL4929" s="19"/>
    </row>
    <row r="4930" spans="1:38" s="11" customFormat="1" x14ac:dyDescent="0.25">
      <c r="A4930" s="3"/>
      <c r="F4930" s="19"/>
      <c r="G4930" s="19"/>
      <c r="N4930" s="19"/>
      <c r="P4930" s="19"/>
      <c r="AL4930" s="19"/>
    </row>
    <row r="4931" spans="1:38" s="11" customFormat="1" x14ac:dyDescent="0.25">
      <c r="A4931" s="3"/>
      <c r="F4931" s="19"/>
      <c r="G4931" s="19"/>
      <c r="N4931" s="19"/>
      <c r="P4931" s="19"/>
      <c r="AL4931" s="19"/>
    </row>
    <row r="4932" spans="1:38" s="11" customFormat="1" x14ac:dyDescent="0.25">
      <c r="A4932" s="3"/>
      <c r="F4932" s="19"/>
      <c r="G4932" s="19"/>
      <c r="N4932" s="19"/>
      <c r="P4932" s="19"/>
      <c r="AL4932" s="19"/>
    </row>
    <row r="4933" spans="1:38" s="11" customFormat="1" x14ac:dyDescent="0.25">
      <c r="A4933" s="3"/>
      <c r="F4933" s="19"/>
      <c r="G4933" s="19"/>
      <c r="N4933" s="19"/>
      <c r="P4933" s="19"/>
      <c r="AL4933" s="19"/>
    </row>
    <row r="4934" spans="1:38" s="11" customFormat="1" x14ac:dyDescent="0.25">
      <c r="A4934" s="3"/>
      <c r="F4934" s="19"/>
      <c r="G4934" s="19"/>
      <c r="N4934" s="19"/>
      <c r="P4934" s="19"/>
      <c r="AL4934" s="19"/>
    </row>
    <row r="4935" spans="1:38" s="11" customFormat="1" x14ac:dyDescent="0.25">
      <c r="A4935" s="3"/>
      <c r="F4935" s="19"/>
      <c r="G4935" s="19"/>
      <c r="N4935" s="19"/>
      <c r="P4935" s="19"/>
      <c r="AL4935" s="19"/>
    </row>
    <row r="4936" spans="1:38" s="11" customFormat="1" x14ac:dyDescent="0.25">
      <c r="A4936" s="3"/>
      <c r="F4936" s="19"/>
      <c r="G4936" s="19"/>
      <c r="N4936" s="19"/>
      <c r="P4936" s="19"/>
      <c r="AL4936" s="19"/>
    </row>
    <row r="4937" spans="1:38" s="11" customFormat="1" x14ac:dyDescent="0.25">
      <c r="A4937" s="3"/>
      <c r="F4937" s="19"/>
      <c r="G4937" s="19"/>
      <c r="N4937" s="19"/>
      <c r="P4937" s="19"/>
      <c r="AL4937" s="19"/>
    </row>
    <row r="4938" spans="1:38" s="11" customFormat="1" x14ac:dyDescent="0.25">
      <c r="A4938" s="3"/>
      <c r="F4938" s="19"/>
      <c r="G4938" s="19"/>
      <c r="N4938" s="19"/>
      <c r="P4938" s="19"/>
      <c r="AL4938" s="19"/>
    </row>
    <row r="4939" spans="1:38" s="11" customFormat="1" x14ac:dyDescent="0.25">
      <c r="A4939" s="3"/>
      <c r="F4939" s="19"/>
      <c r="G4939" s="19"/>
      <c r="N4939" s="19"/>
      <c r="P4939" s="19"/>
      <c r="AL4939" s="19"/>
    </row>
    <row r="4940" spans="1:38" s="11" customFormat="1" x14ac:dyDescent="0.25">
      <c r="A4940" s="3"/>
      <c r="F4940" s="19"/>
      <c r="G4940" s="19"/>
      <c r="N4940" s="19"/>
      <c r="P4940" s="19"/>
      <c r="AL4940" s="19"/>
    </row>
    <row r="4941" spans="1:38" s="11" customFormat="1" x14ac:dyDescent="0.25">
      <c r="A4941" s="3"/>
      <c r="F4941" s="19"/>
      <c r="G4941" s="19"/>
      <c r="N4941" s="19"/>
      <c r="P4941" s="19"/>
      <c r="AL4941" s="19"/>
    </row>
    <row r="4942" spans="1:38" s="11" customFormat="1" x14ac:dyDescent="0.25">
      <c r="A4942" s="3"/>
      <c r="F4942" s="19"/>
      <c r="G4942" s="19"/>
      <c r="N4942" s="19"/>
      <c r="P4942" s="19"/>
      <c r="AL4942" s="19"/>
    </row>
    <row r="4943" spans="1:38" s="11" customFormat="1" x14ac:dyDescent="0.25">
      <c r="A4943" s="3"/>
      <c r="F4943" s="19"/>
      <c r="G4943" s="19"/>
      <c r="N4943" s="19"/>
      <c r="P4943" s="19"/>
      <c r="AL4943" s="19"/>
    </row>
    <row r="4944" spans="1:38" s="11" customFormat="1" x14ac:dyDescent="0.25">
      <c r="A4944" s="3"/>
      <c r="F4944" s="19"/>
      <c r="G4944" s="19"/>
      <c r="N4944" s="19"/>
      <c r="P4944" s="19"/>
      <c r="AL4944" s="19"/>
    </row>
    <row r="4945" spans="1:38" s="11" customFormat="1" x14ac:dyDescent="0.25">
      <c r="A4945" s="3"/>
      <c r="F4945" s="19"/>
      <c r="G4945" s="19"/>
      <c r="N4945" s="19"/>
      <c r="P4945" s="19"/>
      <c r="AL4945" s="19"/>
    </row>
    <row r="4946" spans="1:38" s="11" customFormat="1" x14ac:dyDescent="0.25">
      <c r="A4946" s="3"/>
      <c r="F4946" s="19"/>
      <c r="G4946" s="19"/>
      <c r="N4946" s="19"/>
      <c r="P4946" s="19"/>
      <c r="AL4946" s="19"/>
    </row>
    <row r="4947" spans="1:38" s="11" customFormat="1" x14ac:dyDescent="0.25">
      <c r="A4947" s="3"/>
      <c r="F4947" s="19"/>
      <c r="G4947" s="19"/>
      <c r="N4947" s="19"/>
      <c r="P4947" s="19"/>
      <c r="AL4947" s="19"/>
    </row>
    <row r="4948" spans="1:38" s="11" customFormat="1" x14ac:dyDescent="0.25">
      <c r="A4948" s="3"/>
      <c r="F4948" s="19"/>
      <c r="G4948" s="19"/>
      <c r="N4948" s="19"/>
      <c r="P4948" s="19"/>
      <c r="AL4948" s="19"/>
    </row>
    <row r="4949" spans="1:38" s="11" customFormat="1" x14ac:dyDescent="0.25">
      <c r="A4949" s="3"/>
      <c r="F4949" s="19"/>
      <c r="G4949" s="19"/>
      <c r="N4949" s="19"/>
      <c r="P4949" s="19"/>
      <c r="AL4949" s="19"/>
    </row>
    <row r="4950" spans="1:38" s="11" customFormat="1" x14ac:dyDescent="0.25">
      <c r="A4950" s="3"/>
      <c r="F4950" s="19"/>
      <c r="G4950" s="19"/>
      <c r="N4950" s="19"/>
      <c r="P4950" s="19"/>
      <c r="AL4950" s="19"/>
    </row>
    <row r="4951" spans="1:38" s="11" customFormat="1" x14ac:dyDescent="0.25">
      <c r="A4951" s="3"/>
      <c r="F4951" s="19"/>
      <c r="G4951" s="19"/>
      <c r="N4951" s="19"/>
      <c r="P4951" s="19"/>
      <c r="AL4951" s="19"/>
    </row>
    <row r="4952" spans="1:38" s="11" customFormat="1" x14ac:dyDescent="0.25">
      <c r="A4952" s="3"/>
      <c r="F4952" s="19"/>
      <c r="G4952" s="19"/>
      <c r="N4952" s="19"/>
      <c r="P4952" s="19"/>
      <c r="AL4952" s="19"/>
    </row>
    <row r="4953" spans="1:38" s="11" customFormat="1" x14ac:dyDescent="0.25">
      <c r="A4953" s="3"/>
      <c r="F4953" s="19"/>
      <c r="G4953" s="19"/>
      <c r="N4953" s="19"/>
      <c r="P4953" s="19"/>
      <c r="AL4953" s="19"/>
    </row>
    <row r="4954" spans="1:38" s="11" customFormat="1" x14ac:dyDescent="0.25">
      <c r="A4954" s="3"/>
      <c r="F4954" s="19"/>
      <c r="G4954" s="19"/>
      <c r="N4954" s="19"/>
      <c r="P4954" s="19"/>
      <c r="AL4954" s="19"/>
    </row>
    <row r="4955" spans="1:38" s="11" customFormat="1" x14ac:dyDescent="0.25">
      <c r="A4955" s="3"/>
      <c r="F4955" s="19"/>
      <c r="G4955" s="19"/>
      <c r="N4955" s="19"/>
      <c r="P4955" s="19"/>
      <c r="AL4955" s="19"/>
    </row>
    <row r="4956" spans="1:38" s="11" customFormat="1" x14ac:dyDescent="0.25">
      <c r="A4956" s="3"/>
      <c r="F4956" s="19"/>
      <c r="G4956" s="19"/>
      <c r="N4956" s="19"/>
      <c r="P4956" s="19"/>
      <c r="AL4956" s="19"/>
    </row>
    <row r="4957" spans="1:38" s="11" customFormat="1" x14ac:dyDescent="0.25">
      <c r="A4957" s="3"/>
      <c r="F4957" s="19"/>
      <c r="G4957" s="19"/>
      <c r="N4957" s="19"/>
      <c r="P4957" s="19"/>
      <c r="AL4957" s="19"/>
    </row>
    <row r="4958" spans="1:38" s="11" customFormat="1" x14ac:dyDescent="0.25">
      <c r="A4958" s="3"/>
      <c r="F4958" s="19"/>
      <c r="G4958" s="19"/>
      <c r="N4958" s="19"/>
      <c r="P4958" s="19"/>
      <c r="AL4958" s="19"/>
    </row>
    <row r="4959" spans="1:38" s="11" customFormat="1" x14ac:dyDescent="0.25">
      <c r="A4959" s="3"/>
      <c r="F4959" s="19"/>
      <c r="G4959" s="19"/>
      <c r="N4959" s="19"/>
      <c r="P4959" s="19"/>
      <c r="AL4959" s="19"/>
    </row>
    <row r="4960" spans="1:38" s="11" customFormat="1" x14ac:dyDescent="0.25">
      <c r="A4960" s="3"/>
      <c r="F4960" s="19"/>
      <c r="G4960" s="19"/>
      <c r="N4960" s="19"/>
      <c r="P4960" s="19"/>
      <c r="AL4960" s="19"/>
    </row>
    <row r="4961" spans="1:38" s="11" customFormat="1" x14ac:dyDescent="0.25">
      <c r="A4961" s="3"/>
      <c r="F4961" s="19"/>
      <c r="G4961" s="19"/>
      <c r="N4961" s="19"/>
      <c r="P4961" s="19"/>
      <c r="AL4961" s="19"/>
    </row>
    <row r="4962" spans="1:38" s="11" customFormat="1" x14ac:dyDescent="0.25">
      <c r="A4962" s="3"/>
      <c r="F4962" s="19"/>
      <c r="G4962" s="19"/>
      <c r="N4962" s="19"/>
      <c r="P4962" s="19"/>
      <c r="AL4962" s="19"/>
    </row>
    <row r="4963" spans="1:38" s="11" customFormat="1" x14ac:dyDescent="0.25">
      <c r="A4963" s="3"/>
      <c r="F4963" s="19"/>
      <c r="G4963" s="19"/>
      <c r="N4963" s="19"/>
      <c r="P4963" s="19"/>
      <c r="AL4963" s="19"/>
    </row>
    <row r="4964" spans="1:38" s="11" customFormat="1" x14ac:dyDescent="0.25">
      <c r="A4964" s="3"/>
      <c r="F4964" s="19"/>
      <c r="G4964" s="19"/>
      <c r="N4964" s="19"/>
      <c r="P4964" s="19"/>
      <c r="AL4964" s="19"/>
    </row>
    <row r="4965" spans="1:38" s="11" customFormat="1" x14ac:dyDescent="0.25">
      <c r="A4965" s="3"/>
      <c r="F4965" s="19"/>
      <c r="G4965" s="19"/>
      <c r="N4965" s="19"/>
      <c r="P4965" s="19"/>
      <c r="AL4965" s="19"/>
    </row>
    <row r="4966" spans="1:38" s="11" customFormat="1" x14ac:dyDescent="0.25">
      <c r="A4966" s="3"/>
      <c r="F4966" s="19"/>
      <c r="G4966" s="19"/>
      <c r="N4966" s="19"/>
      <c r="P4966" s="19"/>
      <c r="AL4966" s="19"/>
    </row>
    <row r="4967" spans="1:38" s="11" customFormat="1" x14ac:dyDescent="0.25">
      <c r="A4967" s="3"/>
      <c r="F4967" s="19"/>
      <c r="G4967" s="19"/>
      <c r="N4967" s="19"/>
      <c r="P4967" s="19"/>
      <c r="AL4967" s="19"/>
    </row>
    <row r="4968" spans="1:38" s="11" customFormat="1" x14ac:dyDescent="0.25">
      <c r="A4968" s="3"/>
      <c r="F4968" s="19"/>
      <c r="G4968" s="19"/>
      <c r="N4968" s="19"/>
      <c r="P4968" s="19"/>
      <c r="AL4968" s="19"/>
    </row>
    <row r="4969" spans="1:38" s="11" customFormat="1" x14ac:dyDescent="0.25">
      <c r="A4969" s="3"/>
      <c r="F4969" s="19"/>
      <c r="G4969" s="19"/>
      <c r="N4969" s="19"/>
      <c r="P4969" s="19"/>
      <c r="AL4969" s="19"/>
    </row>
    <row r="4970" spans="1:38" s="11" customFormat="1" x14ac:dyDescent="0.25">
      <c r="A4970" s="3"/>
      <c r="F4970" s="19"/>
      <c r="G4970" s="19"/>
      <c r="N4970" s="19"/>
      <c r="P4970" s="19"/>
      <c r="AL4970" s="19"/>
    </row>
    <row r="4971" spans="1:38" s="11" customFormat="1" x14ac:dyDescent="0.25">
      <c r="A4971" s="3"/>
      <c r="F4971" s="19"/>
      <c r="G4971" s="19"/>
      <c r="N4971" s="19"/>
      <c r="P4971" s="19"/>
      <c r="AL4971" s="19"/>
    </row>
    <row r="4972" spans="1:38" s="11" customFormat="1" x14ac:dyDescent="0.25">
      <c r="A4972" s="3"/>
      <c r="F4972" s="19"/>
      <c r="G4972" s="19"/>
      <c r="N4972" s="19"/>
      <c r="P4972" s="19"/>
      <c r="AL4972" s="19"/>
    </row>
    <row r="4973" spans="1:38" s="11" customFormat="1" x14ac:dyDescent="0.25">
      <c r="A4973" s="3"/>
      <c r="F4973" s="19"/>
      <c r="G4973" s="19"/>
      <c r="N4973" s="19"/>
      <c r="P4973" s="19"/>
      <c r="AL4973" s="19"/>
    </row>
    <row r="4974" spans="1:38" s="11" customFormat="1" x14ac:dyDescent="0.25">
      <c r="A4974" s="3"/>
      <c r="F4974" s="19"/>
      <c r="G4974" s="19"/>
      <c r="N4974" s="19"/>
      <c r="P4974" s="19"/>
      <c r="AL4974" s="19"/>
    </row>
    <row r="4975" spans="1:38" s="11" customFormat="1" x14ac:dyDescent="0.25">
      <c r="A4975" s="3"/>
      <c r="F4975" s="19"/>
      <c r="G4975" s="19"/>
      <c r="N4975" s="19"/>
      <c r="P4975" s="19"/>
      <c r="AL4975" s="19"/>
    </row>
    <row r="4976" spans="1:38" s="11" customFormat="1" x14ac:dyDescent="0.25">
      <c r="A4976" s="3"/>
      <c r="F4976" s="19"/>
      <c r="G4976" s="19"/>
      <c r="N4976" s="19"/>
      <c r="P4976" s="19"/>
      <c r="AL4976" s="19"/>
    </row>
    <row r="4977" spans="1:38" s="11" customFormat="1" x14ac:dyDescent="0.25">
      <c r="A4977" s="3"/>
      <c r="F4977" s="19"/>
      <c r="G4977" s="19"/>
      <c r="N4977" s="19"/>
      <c r="P4977" s="19"/>
      <c r="AL4977" s="19"/>
    </row>
    <row r="4978" spans="1:38" s="11" customFormat="1" x14ac:dyDescent="0.25">
      <c r="A4978" s="3"/>
      <c r="F4978" s="19"/>
      <c r="G4978" s="19"/>
      <c r="N4978" s="19"/>
      <c r="P4978" s="19"/>
      <c r="AL4978" s="19"/>
    </row>
    <row r="4979" spans="1:38" s="11" customFormat="1" x14ac:dyDescent="0.25">
      <c r="A4979" s="3"/>
      <c r="F4979" s="19"/>
      <c r="G4979" s="19"/>
      <c r="N4979" s="19"/>
      <c r="P4979" s="19"/>
      <c r="AL4979" s="19"/>
    </row>
    <row r="4980" spans="1:38" s="11" customFormat="1" x14ac:dyDescent="0.25">
      <c r="A4980" s="3"/>
      <c r="F4980" s="19"/>
      <c r="G4980" s="19"/>
      <c r="N4980" s="19"/>
      <c r="P4980" s="19"/>
      <c r="AL4980" s="19"/>
    </row>
    <row r="4981" spans="1:38" s="11" customFormat="1" x14ac:dyDescent="0.25">
      <c r="A4981" s="3"/>
      <c r="F4981" s="19"/>
      <c r="G4981" s="19"/>
      <c r="N4981" s="19"/>
      <c r="P4981" s="19"/>
      <c r="AL4981" s="19"/>
    </row>
    <row r="4982" spans="1:38" s="11" customFormat="1" x14ac:dyDescent="0.25">
      <c r="A4982" s="3"/>
      <c r="F4982" s="19"/>
      <c r="G4982" s="19"/>
      <c r="N4982" s="19"/>
      <c r="P4982" s="19"/>
      <c r="AL4982" s="19"/>
    </row>
    <row r="4983" spans="1:38" s="11" customFormat="1" x14ac:dyDescent="0.25">
      <c r="A4983" s="3"/>
      <c r="F4983" s="19"/>
      <c r="G4983" s="19"/>
      <c r="N4983" s="19"/>
      <c r="P4983" s="19"/>
      <c r="AL4983" s="19"/>
    </row>
    <row r="4984" spans="1:38" s="11" customFormat="1" x14ac:dyDescent="0.25">
      <c r="A4984" s="3"/>
      <c r="F4984" s="19"/>
      <c r="G4984" s="19"/>
      <c r="N4984" s="19"/>
      <c r="P4984" s="19"/>
      <c r="AL4984" s="19"/>
    </row>
    <row r="4985" spans="1:38" s="11" customFormat="1" x14ac:dyDescent="0.25">
      <c r="A4985" s="3"/>
      <c r="F4985" s="19"/>
      <c r="G4985" s="19"/>
      <c r="N4985" s="19"/>
      <c r="P4985" s="19"/>
      <c r="AL4985" s="19"/>
    </row>
    <row r="4986" spans="1:38" s="11" customFormat="1" x14ac:dyDescent="0.25">
      <c r="A4986" s="3"/>
      <c r="F4986" s="19"/>
      <c r="G4986" s="19"/>
      <c r="N4986" s="19"/>
      <c r="P4986" s="19"/>
      <c r="AL4986" s="19"/>
    </row>
    <row r="4987" spans="1:38" s="11" customFormat="1" x14ac:dyDescent="0.25">
      <c r="A4987" s="3"/>
      <c r="F4987" s="19"/>
      <c r="G4987" s="19"/>
      <c r="N4987" s="19"/>
      <c r="P4987" s="19"/>
      <c r="AL4987" s="19"/>
    </row>
    <row r="4988" spans="1:38" s="11" customFormat="1" x14ac:dyDescent="0.25">
      <c r="A4988" s="3"/>
      <c r="F4988" s="19"/>
      <c r="G4988" s="19"/>
      <c r="N4988" s="19"/>
      <c r="P4988" s="19"/>
      <c r="AL4988" s="19"/>
    </row>
    <row r="4989" spans="1:38" s="11" customFormat="1" x14ac:dyDescent="0.25">
      <c r="A4989" s="3"/>
      <c r="F4989" s="19"/>
      <c r="G4989" s="19"/>
      <c r="N4989" s="19"/>
      <c r="P4989" s="19"/>
      <c r="AL4989" s="19"/>
    </row>
    <row r="4990" spans="1:38" s="11" customFormat="1" x14ac:dyDescent="0.25">
      <c r="A4990" s="3"/>
      <c r="F4990" s="19"/>
      <c r="G4990" s="19"/>
      <c r="N4990" s="19"/>
      <c r="P4990" s="19"/>
      <c r="AL4990" s="19"/>
    </row>
    <row r="4991" spans="1:38" s="11" customFormat="1" x14ac:dyDescent="0.25">
      <c r="A4991" s="3"/>
      <c r="F4991" s="19"/>
      <c r="G4991" s="19"/>
      <c r="N4991" s="19"/>
      <c r="P4991" s="19"/>
      <c r="AL4991" s="19"/>
    </row>
    <row r="4992" spans="1:38" s="11" customFormat="1" x14ac:dyDescent="0.25">
      <c r="A4992" s="3"/>
      <c r="F4992" s="19"/>
      <c r="G4992" s="19"/>
      <c r="N4992" s="19"/>
      <c r="P4992" s="19"/>
      <c r="AL4992" s="19"/>
    </row>
    <row r="4993" spans="1:38" s="11" customFormat="1" x14ac:dyDescent="0.25">
      <c r="A4993" s="3"/>
      <c r="F4993" s="19"/>
      <c r="G4993" s="19"/>
      <c r="N4993" s="19"/>
      <c r="P4993" s="19"/>
      <c r="AL4993" s="19"/>
    </row>
    <row r="4994" spans="1:38" s="11" customFormat="1" x14ac:dyDescent="0.25">
      <c r="A4994" s="3"/>
      <c r="F4994" s="19"/>
      <c r="G4994" s="19"/>
      <c r="N4994" s="19"/>
      <c r="P4994" s="19"/>
      <c r="AL4994" s="19"/>
    </row>
    <row r="4995" spans="1:38" s="11" customFormat="1" x14ac:dyDescent="0.25">
      <c r="A4995" s="3"/>
      <c r="F4995" s="19"/>
      <c r="G4995" s="19"/>
      <c r="N4995" s="19"/>
      <c r="P4995" s="19"/>
      <c r="AL4995" s="19"/>
    </row>
    <row r="4996" spans="1:38" s="11" customFormat="1" x14ac:dyDescent="0.25">
      <c r="A4996" s="3"/>
      <c r="F4996" s="19"/>
      <c r="G4996" s="19"/>
      <c r="N4996" s="19"/>
      <c r="P4996" s="19"/>
      <c r="AL4996" s="19"/>
    </row>
    <row r="4997" spans="1:38" s="11" customFormat="1" x14ac:dyDescent="0.25">
      <c r="A4997" s="3"/>
      <c r="F4997" s="19"/>
      <c r="G4997" s="19"/>
      <c r="N4997" s="19"/>
      <c r="P4997" s="19"/>
      <c r="AL4997" s="19"/>
    </row>
    <row r="4998" spans="1:38" s="11" customFormat="1" x14ac:dyDescent="0.25">
      <c r="A4998" s="3"/>
      <c r="F4998" s="19"/>
      <c r="G4998" s="19"/>
      <c r="N4998" s="19"/>
      <c r="P4998" s="19"/>
      <c r="AL4998" s="19"/>
    </row>
    <row r="4999" spans="1:38" s="11" customFormat="1" x14ac:dyDescent="0.25">
      <c r="A4999" s="3"/>
      <c r="F4999" s="19"/>
      <c r="G4999" s="19"/>
      <c r="N4999" s="19"/>
      <c r="P4999" s="19"/>
      <c r="AL4999" s="19"/>
    </row>
    <row r="5000" spans="1:38" s="11" customFormat="1" x14ac:dyDescent="0.25">
      <c r="A5000" s="3"/>
      <c r="F5000" s="19"/>
      <c r="G5000" s="19"/>
      <c r="N5000" s="19"/>
      <c r="P5000" s="19"/>
      <c r="AL5000" s="19"/>
    </row>
    <row r="5001" spans="1:38" s="11" customFormat="1" x14ac:dyDescent="0.25">
      <c r="A5001" s="3"/>
      <c r="F5001" s="19"/>
      <c r="G5001" s="19"/>
      <c r="N5001" s="19"/>
      <c r="P5001" s="19"/>
      <c r="AL5001" s="19"/>
    </row>
    <row r="5002" spans="1:38" s="11" customFormat="1" x14ac:dyDescent="0.25">
      <c r="A5002" s="3"/>
      <c r="F5002" s="19"/>
      <c r="G5002" s="19"/>
      <c r="N5002" s="19"/>
      <c r="P5002" s="19"/>
      <c r="AL5002" s="19"/>
    </row>
    <row r="5003" spans="1:38" s="11" customFormat="1" x14ac:dyDescent="0.25">
      <c r="A5003" s="3"/>
      <c r="F5003" s="19"/>
      <c r="G5003" s="19"/>
      <c r="N5003" s="19"/>
      <c r="P5003" s="19"/>
      <c r="AL5003" s="19"/>
    </row>
    <row r="5004" spans="1:38" s="11" customFormat="1" x14ac:dyDescent="0.25">
      <c r="A5004" s="3"/>
      <c r="F5004" s="19"/>
      <c r="G5004" s="19"/>
      <c r="N5004" s="19"/>
      <c r="P5004" s="19"/>
      <c r="AL5004" s="19"/>
    </row>
    <row r="5005" spans="1:38" s="11" customFormat="1" x14ac:dyDescent="0.25">
      <c r="A5005" s="3"/>
      <c r="F5005" s="19"/>
      <c r="G5005" s="19"/>
      <c r="N5005" s="19"/>
      <c r="P5005" s="19"/>
      <c r="AL5005" s="19"/>
    </row>
    <row r="5006" spans="1:38" s="11" customFormat="1" x14ac:dyDescent="0.25">
      <c r="A5006" s="3"/>
      <c r="F5006" s="19"/>
      <c r="G5006" s="19"/>
      <c r="N5006" s="19"/>
      <c r="P5006" s="19"/>
      <c r="AL5006" s="19"/>
    </row>
    <row r="5007" spans="1:38" s="11" customFormat="1" x14ac:dyDescent="0.25">
      <c r="A5007" s="3"/>
      <c r="F5007" s="19"/>
      <c r="G5007" s="19"/>
      <c r="N5007" s="19"/>
      <c r="P5007" s="19"/>
      <c r="AL5007" s="19"/>
    </row>
    <row r="5008" spans="1:38" s="11" customFormat="1" x14ac:dyDescent="0.25">
      <c r="A5008" s="3"/>
      <c r="F5008" s="19"/>
      <c r="G5008" s="19"/>
      <c r="N5008" s="19"/>
      <c r="P5008" s="19"/>
      <c r="AL5008" s="19"/>
    </row>
    <row r="5009" spans="1:38" s="11" customFormat="1" x14ac:dyDescent="0.25">
      <c r="A5009" s="3"/>
      <c r="F5009" s="19"/>
      <c r="G5009" s="19"/>
      <c r="N5009" s="19"/>
      <c r="P5009" s="19"/>
      <c r="AL5009" s="19"/>
    </row>
    <row r="5010" spans="1:38" s="11" customFormat="1" x14ac:dyDescent="0.25">
      <c r="A5010" s="3"/>
      <c r="F5010" s="19"/>
      <c r="G5010" s="19"/>
      <c r="N5010" s="19"/>
      <c r="P5010" s="19"/>
      <c r="AL5010" s="19"/>
    </row>
    <row r="5011" spans="1:38" s="11" customFormat="1" x14ac:dyDescent="0.25">
      <c r="A5011" s="3"/>
      <c r="F5011" s="19"/>
      <c r="G5011" s="19"/>
      <c r="N5011" s="19"/>
      <c r="P5011" s="19"/>
      <c r="AL5011" s="19"/>
    </row>
    <row r="5012" spans="1:38" s="11" customFormat="1" x14ac:dyDescent="0.25">
      <c r="A5012" s="3"/>
      <c r="F5012" s="19"/>
      <c r="G5012" s="19"/>
      <c r="N5012" s="19"/>
      <c r="P5012" s="19"/>
      <c r="AL5012" s="19"/>
    </row>
    <row r="5013" spans="1:38" s="11" customFormat="1" x14ac:dyDescent="0.25">
      <c r="A5013" s="3"/>
      <c r="F5013" s="19"/>
      <c r="G5013" s="19"/>
      <c r="N5013" s="19"/>
      <c r="P5013" s="19"/>
      <c r="AL5013" s="19"/>
    </row>
    <row r="5014" spans="1:38" s="11" customFormat="1" x14ac:dyDescent="0.25">
      <c r="A5014" s="3"/>
      <c r="F5014" s="19"/>
      <c r="G5014" s="19"/>
      <c r="N5014" s="19"/>
      <c r="P5014" s="19"/>
      <c r="AL5014" s="19"/>
    </row>
    <row r="5015" spans="1:38" s="11" customFormat="1" x14ac:dyDescent="0.25">
      <c r="A5015" s="3"/>
      <c r="F5015" s="19"/>
      <c r="G5015" s="19"/>
      <c r="N5015" s="19"/>
      <c r="P5015" s="19"/>
      <c r="AL5015" s="19"/>
    </row>
    <row r="5016" spans="1:38" s="11" customFormat="1" x14ac:dyDescent="0.25">
      <c r="A5016" s="3"/>
      <c r="F5016" s="19"/>
      <c r="G5016" s="19"/>
      <c r="N5016" s="19"/>
      <c r="P5016" s="19"/>
      <c r="AL5016" s="19"/>
    </row>
    <row r="5017" spans="1:38" s="11" customFormat="1" x14ac:dyDescent="0.25">
      <c r="A5017" s="3"/>
      <c r="F5017" s="19"/>
      <c r="G5017" s="19"/>
      <c r="N5017" s="19"/>
      <c r="P5017" s="19"/>
      <c r="AL5017" s="19"/>
    </row>
    <row r="5018" spans="1:38" s="11" customFormat="1" x14ac:dyDescent="0.25">
      <c r="A5018" s="3"/>
      <c r="F5018" s="19"/>
      <c r="G5018" s="19"/>
      <c r="N5018" s="19"/>
      <c r="P5018" s="19"/>
      <c r="AL5018" s="19"/>
    </row>
    <row r="5019" spans="1:38" s="11" customFormat="1" x14ac:dyDescent="0.25">
      <c r="A5019" s="3"/>
      <c r="F5019" s="19"/>
      <c r="G5019" s="19"/>
      <c r="N5019" s="19"/>
      <c r="P5019" s="19"/>
      <c r="AL5019" s="19"/>
    </row>
    <row r="5020" spans="1:38" s="11" customFormat="1" x14ac:dyDescent="0.25">
      <c r="A5020" s="3"/>
      <c r="F5020" s="19"/>
      <c r="G5020" s="19"/>
      <c r="N5020" s="19"/>
      <c r="P5020" s="19"/>
      <c r="AL5020" s="19"/>
    </row>
    <row r="5021" spans="1:38" s="11" customFormat="1" x14ac:dyDescent="0.25">
      <c r="A5021" s="3"/>
      <c r="F5021" s="19"/>
      <c r="G5021" s="19"/>
      <c r="N5021" s="19"/>
      <c r="P5021" s="19"/>
      <c r="AL5021" s="19"/>
    </row>
    <row r="5022" spans="1:38" s="11" customFormat="1" x14ac:dyDescent="0.25">
      <c r="A5022" s="3"/>
      <c r="F5022" s="19"/>
      <c r="G5022" s="19"/>
      <c r="N5022" s="19"/>
      <c r="P5022" s="19"/>
      <c r="AL5022" s="19"/>
    </row>
    <row r="5023" spans="1:38" s="11" customFormat="1" x14ac:dyDescent="0.25">
      <c r="A5023" s="3"/>
      <c r="F5023" s="19"/>
      <c r="G5023" s="19"/>
      <c r="N5023" s="19"/>
      <c r="P5023" s="19"/>
      <c r="AL5023" s="19"/>
    </row>
    <row r="5024" spans="1:38" s="11" customFormat="1" x14ac:dyDescent="0.25">
      <c r="A5024" s="3"/>
      <c r="F5024" s="19"/>
      <c r="G5024" s="19"/>
      <c r="N5024" s="19"/>
      <c r="P5024" s="19"/>
      <c r="AL5024" s="19"/>
    </row>
    <row r="5025" spans="1:38" s="11" customFormat="1" x14ac:dyDescent="0.25">
      <c r="A5025" s="3"/>
      <c r="F5025" s="19"/>
      <c r="G5025" s="19"/>
      <c r="N5025" s="19"/>
      <c r="P5025" s="19"/>
      <c r="AL5025" s="19"/>
    </row>
    <row r="5026" spans="1:38" s="11" customFormat="1" x14ac:dyDescent="0.25">
      <c r="A5026" s="3"/>
      <c r="F5026" s="19"/>
      <c r="G5026" s="19"/>
      <c r="N5026" s="19"/>
      <c r="P5026" s="19"/>
      <c r="AL5026" s="19"/>
    </row>
    <row r="5027" spans="1:38" s="11" customFormat="1" x14ac:dyDescent="0.25">
      <c r="A5027" s="3"/>
      <c r="F5027" s="19"/>
      <c r="G5027" s="19"/>
      <c r="N5027" s="19"/>
      <c r="P5027" s="19"/>
      <c r="AL5027" s="19"/>
    </row>
    <row r="5028" spans="1:38" s="11" customFormat="1" x14ac:dyDescent="0.25">
      <c r="A5028" s="3"/>
      <c r="F5028" s="19"/>
      <c r="G5028" s="19"/>
      <c r="N5028" s="19"/>
      <c r="P5028" s="19"/>
      <c r="AL5028" s="19"/>
    </row>
    <row r="5029" spans="1:38" s="11" customFormat="1" x14ac:dyDescent="0.25">
      <c r="A5029" s="3"/>
      <c r="F5029" s="19"/>
      <c r="G5029" s="19"/>
      <c r="N5029" s="19"/>
      <c r="P5029" s="19"/>
      <c r="AL5029" s="19"/>
    </row>
    <row r="5030" spans="1:38" s="11" customFormat="1" x14ac:dyDescent="0.25">
      <c r="A5030" s="3"/>
      <c r="F5030" s="19"/>
      <c r="G5030" s="19"/>
      <c r="N5030" s="19"/>
      <c r="P5030" s="19"/>
      <c r="AL5030" s="19"/>
    </row>
    <row r="5031" spans="1:38" s="11" customFormat="1" x14ac:dyDescent="0.25">
      <c r="A5031" s="3"/>
      <c r="F5031" s="19"/>
      <c r="G5031" s="19"/>
      <c r="N5031" s="19"/>
      <c r="P5031" s="19"/>
      <c r="AL5031" s="19"/>
    </row>
    <row r="5032" spans="1:38" s="11" customFormat="1" x14ac:dyDescent="0.25">
      <c r="A5032" s="3"/>
      <c r="F5032" s="19"/>
      <c r="G5032" s="19"/>
      <c r="N5032" s="19"/>
      <c r="P5032" s="19"/>
      <c r="AL5032" s="19"/>
    </row>
    <row r="5033" spans="1:38" s="11" customFormat="1" x14ac:dyDescent="0.25">
      <c r="A5033" s="3"/>
      <c r="F5033" s="19"/>
      <c r="G5033" s="19"/>
      <c r="N5033" s="19"/>
      <c r="P5033" s="19"/>
      <c r="AL5033" s="19"/>
    </row>
    <row r="5034" spans="1:38" s="11" customFormat="1" x14ac:dyDescent="0.25">
      <c r="A5034" s="3"/>
      <c r="F5034" s="19"/>
      <c r="G5034" s="19"/>
      <c r="N5034" s="19"/>
      <c r="P5034" s="19"/>
      <c r="AL5034" s="19"/>
    </row>
    <row r="5035" spans="1:38" s="11" customFormat="1" x14ac:dyDescent="0.25">
      <c r="A5035" s="3"/>
      <c r="F5035" s="19"/>
      <c r="G5035" s="19"/>
      <c r="N5035" s="19"/>
      <c r="P5035" s="19"/>
      <c r="AL5035" s="19"/>
    </row>
    <row r="5036" spans="1:38" s="11" customFormat="1" x14ac:dyDescent="0.25">
      <c r="A5036" s="3"/>
      <c r="F5036" s="19"/>
      <c r="G5036" s="19"/>
      <c r="N5036" s="19"/>
      <c r="P5036" s="19"/>
      <c r="AL5036" s="19"/>
    </row>
    <row r="5037" spans="1:38" s="11" customFormat="1" x14ac:dyDescent="0.25">
      <c r="A5037" s="3"/>
      <c r="F5037" s="19"/>
      <c r="G5037" s="19"/>
      <c r="N5037" s="19"/>
      <c r="P5037" s="19"/>
      <c r="AL5037" s="19"/>
    </row>
    <row r="5038" spans="1:38" s="11" customFormat="1" x14ac:dyDescent="0.25">
      <c r="A5038" s="3"/>
      <c r="F5038" s="19"/>
      <c r="G5038" s="19"/>
      <c r="N5038" s="19"/>
      <c r="P5038" s="19"/>
      <c r="AL5038" s="19"/>
    </row>
    <row r="5039" spans="1:38" s="11" customFormat="1" x14ac:dyDescent="0.25">
      <c r="A5039" s="3"/>
      <c r="F5039" s="19"/>
      <c r="G5039" s="19"/>
      <c r="N5039" s="19"/>
      <c r="P5039" s="19"/>
      <c r="AL5039" s="19"/>
    </row>
    <row r="5040" spans="1:38" s="11" customFormat="1" x14ac:dyDescent="0.25">
      <c r="A5040" s="3"/>
      <c r="F5040" s="19"/>
      <c r="G5040" s="19"/>
      <c r="N5040" s="19"/>
      <c r="P5040" s="19"/>
      <c r="AL5040" s="19"/>
    </row>
    <row r="5041" spans="1:38" s="11" customFormat="1" x14ac:dyDescent="0.25">
      <c r="A5041" s="3"/>
      <c r="F5041" s="19"/>
      <c r="G5041" s="19"/>
      <c r="N5041" s="19"/>
      <c r="P5041" s="19"/>
      <c r="AL5041" s="19"/>
    </row>
    <row r="5042" spans="1:38" s="11" customFormat="1" x14ac:dyDescent="0.25">
      <c r="A5042" s="3"/>
      <c r="F5042" s="19"/>
      <c r="G5042" s="19"/>
      <c r="N5042" s="19"/>
      <c r="P5042" s="19"/>
      <c r="AL5042" s="19"/>
    </row>
    <row r="5043" spans="1:38" s="11" customFormat="1" x14ac:dyDescent="0.25">
      <c r="A5043" s="3"/>
      <c r="F5043" s="19"/>
      <c r="G5043" s="19"/>
      <c r="N5043" s="19"/>
      <c r="P5043" s="19"/>
      <c r="AL5043" s="19"/>
    </row>
    <row r="5044" spans="1:38" s="11" customFormat="1" x14ac:dyDescent="0.25">
      <c r="A5044" s="3"/>
      <c r="F5044" s="19"/>
      <c r="G5044" s="19"/>
      <c r="N5044" s="19"/>
      <c r="P5044" s="19"/>
      <c r="AL5044" s="19"/>
    </row>
    <row r="5045" spans="1:38" s="11" customFormat="1" x14ac:dyDescent="0.25">
      <c r="A5045" s="3"/>
      <c r="F5045" s="19"/>
      <c r="G5045" s="19"/>
      <c r="N5045" s="19"/>
      <c r="P5045" s="19"/>
      <c r="AL5045" s="19"/>
    </row>
    <row r="5046" spans="1:38" s="11" customFormat="1" x14ac:dyDescent="0.25">
      <c r="A5046" s="3"/>
      <c r="F5046" s="19"/>
      <c r="G5046" s="19"/>
      <c r="N5046" s="19"/>
      <c r="P5046" s="19"/>
      <c r="AL5046" s="19"/>
    </row>
    <row r="5047" spans="1:38" s="11" customFormat="1" x14ac:dyDescent="0.25">
      <c r="A5047" s="3"/>
      <c r="F5047" s="19"/>
      <c r="G5047" s="19"/>
      <c r="N5047" s="19"/>
      <c r="P5047" s="19"/>
      <c r="AL5047" s="19"/>
    </row>
    <row r="5048" spans="1:38" s="11" customFormat="1" x14ac:dyDescent="0.25">
      <c r="A5048" s="3"/>
      <c r="F5048" s="19"/>
      <c r="G5048" s="19"/>
      <c r="N5048" s="19"/>
      <c r="P5048" s="19"/>
      <c r="AL5048" s="19"/>
    </row>
    <row r="5049" spans="1:38" s="11" customFormat="1" x14ac:dyDescent="0.25">
      <c r="A5049" s="3"/>
      <c r="F5049" s="19"/>
      <c r="G5049" s="19"/>
      <c r="N5049" s="19"/>
      <c r="P5049" s="19"/>
      <c r="AL5049" s="19"/>
    </row>
    <row r="5050" spans="1:38" s="11" customFormat="1" x14ac:dyDescent="0.25">
      <c r="A5050" s="3"/>
      <c r="F5050" s="19"/>
      <c r="G5050" s="19"/>
      <c r="N5050" s="19"/>
      <c r="P5050" s="19"/>
      <c r="AL5050" s="19"/>
    </row>
    <row r="5051" spans="1:38" s="11" customFormat="1" x14ac:dyDescent="0.25">
      <c r="A5051" s="3"/>
      <c r="F5051" s="19"/>
      <c r="G5051" s="19"/>
      <c r="N5051" s="19"/>
      <c r="P5051" s="19"/>
      <c r="AL5051" s="19"/>
    </row>
    <row r="5052" spans="1:38" s="11" customFormat="1" x14ac:dyDescent="0.25">
      <c r="A5052" s="3"/>
      <c r="F5052" s="19"/>
      <c r="G5052" s="19"/>
      <c r="N5052" s="19"/>
      <c r="P5052" s="19"/>
      <c r="AL5052" s="19"/>
    </row>
    <row r="5053" spans="1:38" s="11" customFormat="1" x14ac:dyDescent="0.25">
      <c r="A5053" s="3"/>
      <c r="F5053" s="19"/>
      <c r="G5053" s="19"/>
      <c r="N5053" s="19"/>
      <c r="P5053" s="19"/>
      <c r="AL5053" s="19"/>
    </row>
    <row r="5054" spans="1:38" s="11" customFormat="1" x14ac:dyDescent="0.25">
      <c r="A5054" s="3"/>
      <c r="F5054" s="19"/>
      <c r="G5054" s="19"/>
      <c r="N5054" s="19"/>
      <c r="P5054" s="19"/>
      <c r="AL5054" s="19"/>
    </row>
    <row r="5055" spans="1:38" s="11" customFormat="1" x14ac:dyDescent="0.25">
      <c r="A5055" s="3"/>
      <c r="F5055" s="19"/>
      <c r="G5055" s="19"/>
      <c r="N5055" s="19"/>
      <c r="P5055" s="19"/>
      <c r="AL5055" s="19"/>
    </row>
    <row r="5056" spans="1:38" s="11" customFormat="1" x14ac:dyDescent="0.25">
      <c r="A5056" s="3"/>
      <c r="F5056" s="19"/>
      <c r="G5056" s="19"/>
      <c r="N5056" s="19"/>
      <c r="P5056" s="19"/>
      <c r="AL5056" s="19"/>
    </row>
    <row r="5057" spans="1:38" s="11" customFormat="1" x14ac:dyDescent="0.25">
      <c r="A5057" s="3"/>
      <c r="F5057" s="19"/>
      <c r="G5057" s="19"/>
      <c r="N5057" s="19"/>
      <c r="P5057" s="19"/>
      <c r="AL5057" s="19"/>
    </row>
    <row r="5058" spans="1:38" s="11" customFormat="1" x14ac:dyDescent="0.25">
      <c r="A5058" s="3"/>
      <c r="F5058" s="19"/>
      <c r="G5058" s="19"/>
      <c r="N5058" s="19"/>
      <c r="P5058" s="19"/>
      <c r="AL5058" s="19"/>
    </row>
    <row r="5059" spans="1:38" s="11" customFormat="1" x14ac:dyDescent="0.25">
      <c r="A5059" s="3"/>
      <c r="F5059" s="19"/>
      <c r="G5059" s="19"/>
      <c r="N5059" s="19"/>
      <c r="P5059" s="19"/>
      <c r="AL5059" s="19"/>
    </row>
    <row r="5060" spans="1:38" s="11" customFormat="1" x14ac:dyDescent="0.25">
      <c r="A5060" s="3"/>
      <c r="F5060" s="19"/>
      <c r="G5060" s="19"/>
      <c r="N5060" s="19"/>
      <c r="P5060" s="19"/>
      <c r="AL5060" s="19"/>
    </row>
    <row r="5061" spans="1:38" s="11" customFormat="1" x14ac:dyDescent="0.25">
      <c r="A5061" s="3"/>
      <c r="F5061" s="19"/>
      <c r="G5061" s="19"/>
      <c r="N5061" s="19"/>
      <c r="P5061" s="19"/>
      <c r="AL5061" s="19"/>
    </row>
    <row r="5062" spans="1:38" s="11" customFormat="1" x14ac:dyDescent="0.25">
      <c r="A5062" s="3"/>
      <c r="F5062" s="19"/>
      <c r="G5062" s="19"/>
      <c r="N5062" s="19"/>
      <c r="P5062" s="19"/>
      <c r="AL5062" s="19"/>
    </row>
    <row r="5063" spans="1:38" s="11" customFormat="1" x14ac:dyDescent="0.25">
      <c r="A5063" s="3"/>
      <c r="F5063" s="19"/>
      <c r="G5063" s="19"/>
      <c r="N5063" s="19"/>
      <c r="P5063" s="19"/>
      <c r="AL5063" s="19"/>
    </row>
    <row r="5064" spans="1:38" s="11" customFormat="1" x14ac:dyDescent="0.25">
      <c r="A5064" s="3"/>
      <c r="F5064" s="19"/>
      <c r="G5064" s="19"/>
      <c r="N5064" s="19"/>
      <c r="P5064" s="19"/>
      <c r="AL5064" s="19"/>
    </row>
    <row r="5065" spans="1:38" s="11" customFormat="1" x14ac:dyDescent="0.25">
      <c r="A5065" s="3"/>
      <c r="F5065" s="19"/>
      <c r="G5065" s="19"/>
      <c r="N5065" s="19"/>
      <c r="P5065" s="19"/>
      <c r="AL5065" s="19"/>
    </row>
    <row r="5066" spans="1:38" s="11" customFormat="1" x14ac:dyDescent="0.25">
      <c r="A5066" s="3"/>
      <c r="F5066" s="19"/>
      <c r="G5066" s="19"/>
      <c r="N5066" s="19"/>
      <c r="P5066" s="19"/>
      <c r="AL5066" s="19"/>
    </row>
    <row r="5067" spans="1:38" s="11" customFormat="1" x14ac:dyDescent="0.25">
      <c r="A5067" s="3"/>
      <c r="F5067" s="19"/>
      <c r="G5067" s="19"/>
      <c r="N5067" s="19"/>
      <c r="P5067" s="19"/>
      <c r="AL5067" s="19"/>
    </row>
    <row r="5068" spans="1:38" s="11" customFormat="1" x14ac:dyDescent="0.25">
      <c r="A5068" s="3"/>
      <c r="F5068" s="19"/>
      <c r="G5068" s="19"/>
      <c r="N5068" s="19"/>
      <c r="P5068" s="19"/>
      <c r="AL5068" s="19"/>
    </row>
    <row r="5069" spans="1:38" s="11" customFormat="1" x14ac:dyDescent="0.25">
      <c r="A5069" s="3"/>
      <c r="F5069" s="19"/>
      <c r="G5069" s="19"/>
      <c r="N5069" s="19"/>
      <c r="P5069" s="19"/>
      <c r="AL5069" s="19"/>
    </row>
    <row r="5070" spans="1:38" s="11" customFormat="1" x14ac:dyDescent="0.25">
      <c r="A5070" s="3"/>
      <c r="F5070" s="19"/>
      <c r="G5070" s="19"/>
      <c r="N5070" s="19"/>
      <c r="P5070" s="19"/>
      <c r="AL5070" s="19"/>
    </row>
    <row r="5071" spans="1:38" s="11" customFormat="1" x14ac:dyDescent="0.25">
      <c r="A5071" s="3"/>
      <c r="F5071" s="19"/>
      <c r="G5071" s="19"/>
      <c r="N5071" s="19"/>
      <c r="P5071" s="19"/>
      <c r="AL5071" s="19"/>
    </row>
    <row r="5072" spans="1:38" s="11" customFormat="1" x14ac:dyDescent="0.25">
      <c r="A5072" s="3"/>
      <c r="F5072" s="19"/>
      <c r="G5072" s="19"/>
      <c r="N5072" s="19"/>
      <c r="P5072" s="19"/>
      <c r="AL5072" s="19"/>
    </row>
    <row r="5073" spans="1:38" s="11" customFormat="1" x14ac:dyDescent="0.25">
      <c r="A5073" s="3"/>
      <c r="F5073" s="19"/>
      <c r="G5073" s="19"/>
      <c r="N5073" s="19"/>
      <c r="P5073" s="19"/>
      <c r="AL5073" s="19"/>
    </row>
    <row r="5074" spans="1:38" s="11" customFormat="1" x14ac:dyDescent="0.25">
      <c r="A5074" s="3"/>
      <c r="F5074" s="19"/>
      <c r="G5074" s="19"/>
      <c r="N5074" s="19"/>
      <c r="P5074" s="19"/>
      <c r="AL5074" s="19"/>
    </row>
    <row r="5075" spans="1:38" s="11" customFormat="1" x14ac:dyDescent="0.25">
      <c r="A5075" s="3"/>
      <c r="F5075" s="19"/>
      <c r="G5075" s="19"/>
      <c r="N5075" s="19"/>
      <c r="P5075" s="19"/>
      <c r="AL5075" s="19"/>
    </row>
    <row r="5076" spans="1:38" s="11" customFormat="1" x14ac:dyDescent="0.25">
      <c r="A5076" s="3"/>
      <c r="F5076" s="19"/>
      <c r="G5076" s="19"/>
      <c r="N5076" s="19"/>
      <c r="P5076" s="19"/>
      <c r="AL5076" s="19"/>
    </row>
    <row r="5077" spans="1:38" s="11" customFormat="1" x14ac:dyDescent="0.25">
      <c r="A5077" s="3"/>
      <c r="F5077" s="19"/>
      <c r="G5077" s="19"/>
      <c r="N5077" s="19"/>
      <c r="P5077" s="19"/>
      <c r="AL5077" s="19"/>
    </row>
    <row r="5078" spans="1:38" s="11" customFormat="1" x14ac:dyDescent="0.25">
      <c r="A5078" s="3"/>
      <c r="F5078" s="19"/>
      <c r="G5078" s="19"/>
      <c r="N5078" s="19"/>
      <c r="P5078" s="19"/>
      <c r="AL5078" s="19"/>
    </row>
    <row r="5079" spans="1:38" s="11" customFormat="1" x14ac:dyDescent="0.25">
      <c r="A5079" s="3"/>
      <c r="F5079" s="19"/>
      <c r="G5079" s="19"/>
      <c r="N5079" s="19"/>
      <c r="P5079" s="19"/>
      <c r="AL5079" s="19"/>
    </row>
    <row r="5080" spans="1:38" s="11" customFormat="1" x14ac:dyDescent="0.25">
      <c r="A5080" s="3"/>
      <c r="F5080" s="19"/>
      <c r="G5080" s="19"/>
      <c r="N5080" s="19"/>
      <c r="P5080" s="19"/>
      <c r="AL5080" s="19"/>
    </row>
    <row r="5081" spans="1:38" s="11" customFormat="1" x14ac:dyDescent="0.25">
      <c r="A5081" s="3"/>
      <c r="F5081" s="19"/>
      <c r="G5081" s="19"/>
      <c r="N5081" s="19"/>
      <c r="P5081" s="19"/>
      <c r="AL5081" s="19"/>
    </row>
    <row r="5082" spans="1:38" s="11" customFormat="1" x14ac:dyDescent="0.25">
      <c r="A5082" s="3"/>
      <c r="F5082" s="19"/>
      <c r="G5082" s="19"/>
      <c r="N5082" s="19"/>
      <c r="P5082" s="19"/>
      <c r="AL5082" s="19"/>
    </row>
    <row r="5083" spans="1:38" s="11" customFormat="1" x14ac:dyDescent="0.25">
      <c r="A5083" s="3"/>
      <c r="F5083" s="19"/>
      <c r="G5083" s="19"/>
      <c r="N5083" s="19"/>
      <c r="P5083" s="19"/>
      <c r="AL5083" s="19"/>
    </row>
    <row r="5084" spans="1:38" s="11" customFormat="1" x14ac:dyDescent="0.25">
      <c r="A5084" s="3"/>
      <c r="F5084" s="19"/>
      <c r="G5084" s="19"/>
      <c r="N5084" s="19"/>
      <c r="P5084" s="19"/>
      <c r="AL5084" s="19"/>
    </row>
    <row r="5085" spans="1:38" s="11" customFormat="1" x14ac:dyDescent="0.25">
      <c r="A5085" s="3"/>
      <c r="F5085" s="19"/>
      <c r="G5085" s="19"/>
      <c r="N5085" s="19"/>
      <c r="P5085" s="19"/>
      <c r="AL5085" s="19"/>
    </row>
    <row r="5086" spans="1:38" s="11" customFormat="1" x14ac:dyDescent="0.25">
      <c r="A5086" s="3"/>
      <c r="F5086" s="19"/>
      <c r="G5086" s="19"/>
      <c r="N5086" s="19"/>
      <c r="P5086" s="19"/>
      <c r="AL5086" s="19"/>
    </row>
    <row r="5087" spans="1:38" s="11" customFormat="1" x14ac:dyDescent="0.25">
      <c r="A5087" s="3"/>
      <c r="F5087" s="19"/>
      <c r="G5087" s="19"/>
      <c r="N5087" s="19"/>
      <c r="P5087" s="19"/>
      <c r="AL5087" s="19"/>
    </row>
    <row r="5088" spans="1:38" s="11" customFormat="1" x14ac:dyDescent="0.25">
      <c r="A5088" s="3"/>
      <c r="F5088" s="19"/>
      <c r="G5088" s="19"/>
      <c r="N5088" s="19"/>
      <c r="P5088" s="19"/>
      <c r="AL5088" s="19"/>
    </row>
    <row r="5089" spans="1:38" s="11" customFormat="1" x14ac:dyDescent="0.25">
      <c r="A5089" s="3"/>
      <c r="F5089" s="19"/>
      <c r="G5089" s="19"/>
      <c r="N5089" s="19"/>
      <c r="P5089" s="19"/>
      <c r="AL5089" s="19"/>
    </row>
    <row r="5090" spans="1:38" s="11" customFormat="1" x14ac:dyDescent="0.25">
      <c r="A5090" s="3"/>
      <c r="F5090" s="19"/>
      <c r="G5090" s="19"/>
      <c r="N5090" s="19"/>
      <c r="P5090" s="19"/>
      <c r="AL5090" s="19"/>
    </row>
    <row r="5091" spans="1:38" s="11" customFormat="1" x14ac:dyDescent="0.25">
      <c r="A5091" s="3"/>
      <c r="F5091" s="19"/>
      <c r="G5091" s="19"/>
      <c r="N5091" s="19"/>
      <c r="P5091" s="19"/>
      <c r="AL5091" s="19"/>
    </row>
    <row r="5092" spans="1:38" s="11" customFormat="1" x14ac:dyDescent="0.25">
      <c r="A5092" s="3"/>
      <c r="F5092" s="19"/>
      <c r="G5092" s="19"/>
      <c r="N5092" s="19"/>
      <c r="P5092" s="19"/>
      <c r="AL5092" s="19"/>
    </row>
    <row r="5093" spans="1:38" s="11" customFormat="1" x14ac:dyDescent="0.25">
      <c r="A5093" s="3"/>
      <c r="F5093" s="19"/>
      <c r="G5093" s="19"/>
      <c r="N5093" s="19"/>
      <c r="P5093" s="19"/>
      <c r="AL5093" s="19"/>
    </row>
    <row r="5094" spans="1:38" s="11" customFormat="1" x14ac:dyDescent="0.25">
      <c r="A5094" s="3"/>
      <c r="F5094" s="19"/>
      <c r="G5094" s="19"/>
      <c r="N5094" s="19"/>
      <c r="P5094" s="19"/>
      <c r="AL5094" s="19"/>
    </row>
    <row r="5095" spans="1:38" s="11" customFormat="1" x14ac:dyDescent="0.25">
      <c r="A5095" s="3"/>
      <c r="F5095" s="19"/>
      <c r="G5095" s="19"/>
      <c r="N5095" s="19"/>
      <c r="P5095" s="19"/>
      <c r="AL5095" s="19"/>
    </row>
    <row r="5096" spans="1:38" s="11" customFormat="1" x14ac:dyDescent="0.25">
      <c r="A5096" s="3"/>
      <c r="F5096" s="19"/>
      <c r="G5096" s="19"/>
      <c r="N5096" s="19"/>
      <c r="P5096" s="19"/>
      <c r="AL5096" s="19"/>
    </row>
    <row r="5097" spans="1:38" s="11" customFormat="1" x14ac:dyDescent="0.25">
      <c r="A5097" s="3"/>
      <c r="F5097" s="19"/>
      <c r="G5097" s="19"/>
      <c r="N5097" s="19"/>
      <c r="P5097" s="19"/>
      <c r="AL5097" s="19"/>
    </row>
    <row r="5098" spans="1:38" s="11" customFormat="1" x14ac:dyDescent="0.25">
      <c r="A5098" s="3"/>
      <c r="F5098" s="19"/>
      <c r="G5098" s="19"/>
      <c r="N5098" s="19"/>
      <c r="P5098" s="19"/>
      <c r="AL5098" s="19"/>
    </row>
    <row r="5099" spans="1:38" s="11" customFormat="1" x14ac:dyDescent="0.25">
      <c r="A5099" s="3"/>
      <c r="F5099" s="19"/>
      <c r="G5099" s="19"/>
      <c r="N5099" s="19"/>
      <c r="P5099" s="19"/>
      <c r="AL5099" s="19"/>
    </row>
    <row r="5100" spans="1:38" s="11" customFormat="1" x14ac:dyDescent="0.25">
      <c r="A5100" s="3"/>
      <c r="F5100" s="19"/>
      <c r="G5100" s="19"/>
      <c r="N5100" s="19"/>
      <c r="P5100" s="19"/>
      <c r="AL5100" s="19"/>
    </row>
    <row r="5101" spans="1:38" s="11" customFormat="1" x14ac:dyDescent="0.25">
      <c r="A5101" s="3"/>
      <c r="F5101" s="19"/>
      <c r="G5101" s="19"/>
      <c r="N5101" s="19"/>
      <c r="P5101" s="19"/>
      <c r="AL5101" s="19"/>
    </row>
    <row r="5102" spans="1:38" s="11" customFormat="1" x14ac:dyDescent="0.25">
      <c r="A5102" s="3"/>
      <c r="F5102" s="19"/>
      <c r="G5102" s="19"/>
      <c r="N5102" s="19"/>
      <c r="P5102" s="19"/>
      <c r="AL5102" s="19"/>
    </row>
    <row r="5103" spans="1:38" s="11" customFormat="1" x14ac:dyDescent="0.25">
      <c r="A5103" s="3"/>
      <c r="F5103" s="19"/>
      <c r="G5103" s="19"/>
      <c r="N5103" s="19"/>
      <c r="P5103" s="19"/>
      <c r="AL5103" s="19"/>
    </row>
    <row r="5104" spans="1:38" s="11" customFormat="1" x14ac:dyDescent="0.25">
      <c r="A5104" s="3"/>
      <c r="F5104" s="19"/>
      <c r="G5104" s="19"/>
      <c r="N5104" s="19"/>
      <c r="P5104" s="19"/>
      <c r="AL5104" s="19"/>
    </row>
    <row r="5105" spans="1:38" s="11" customFormat="1" x14ac:dyDescent="0.25">
      <c r="A5105" s="3"/>
      <c r="F5105" s="19"/>
      <c r="G5105" s="19"/>
      <c r="N5105" s="19"/>
      <c r="P5105" s="19"/>
      <c r="AL5105" s="19"/>
    </row>
    <row r="5106" spans="1:38" s="11" customFormat="1" x14ac:dyDescent="0.25">
      <c r="A5106" s="3"/>
      <c r="F5106" s="19"/>
      <c r="G5106" s="19"/>
      <c r="N5106" s="19"/>
      <c r="P5106" s="19"/>
      <c r="AL5106" s="19"/>
    </row>
    <row r="5107" spans="1:38" s="11" customFormat="1" x14ac:dyDescent="0.25">
      <c r="A5107" s="3"/>
      <c r="F5107" s="19"/>
      <c r="G5107" s="19"/>
      <c r="N5107" s="19"/>
      <c r="P5107" s="19"/>
      <c r="AL5107" s="19"/>
    </row>
    <row r="5108" spans="1:38" s="11" customFormat="1" x14ac:dyDescent="0.25">
      <c r="A5108" s="3"/>
      <c r="F5108" s="19"/>
      <c r="G5108" s="19"/>
      <c r="N5108" s="19"/>
      <c r="P5108" s="19"/>
      <c r="AL5108" s="19"/>
    </row>
    <row r="5109" spans="1:38" s="11" customFormat="1" x14ac:dyDescent="0.25">
      <c r="A5109" s="3"/>
      <c r="F5109" s="19"/>
      <c r="G5109" s="19"/>
      <c r="N5109" s="19"/>
      <c r="P5109" s="19"/>
      <c r="AL5109" s="19"/>
    </row>
    <row r="5110" spans="1:38" s="11" customFormat="1" x14ac:dyDescent="0.25">
      <c r="A5110" s="3"/>
      <c r="F5110" s="19"/>
      <c r="G5110" s="19"/>
      <c r="N5110" s="19"/>
      <c r="P5110" s="19"/>
      <c r="AL5110" s="19"/>
    </row>
    <row r="5111" spans="1:38" s="11" customFormat="1" x14ac:dyDescent="0.25">
      <c r="A5111" s="3"/>
      <c r="F5111" s="19"/>
      <c r="G5111" s="19"/>
      <c r="N5111" s="19"/>
      <c r="P5111" s="19"/>
      <c r="AL5111" s="19"/>
    </row>
    <row r="5112" spans="1:38" s="11" customFormat="1" x14ac:dyDescent="0.25">
      <c r="A5112" s="3"/>
      <c r="F5112" s="19"/>
      <c r="G5112" s="19"/>
      <c r="N5112" s="19"/>
      <c r="P5112" s="19"/>
      <c r="AL5112" s="19"/>
    </row>
    <row r="5113" spans="1:38" s="11" customFormat="1" x14ac:dyDescent="0.25">
      <c r="A5113" s="3"/>
      <c r="F5113" s="19"/>
      <c r="G5113" s="19"/>
      <c r="N5113" s="19"/>
      <c r="P5113" s="19"/>
      <c r="AL5113" s="19"/>
    </row>
    <row r="5114" spans="1:38" s="11" customFormat="1" x14ac:dyDescent="0.25">
      <c r="A5114" s="3"/>
      <c r="F5114" s="19"/>
      <c r="G5114" s="19"/>
      <c r="N5114" s="19"/>
      <c r="P5114" s="19"/>
      <c r="AL5114" s="19"/>
    </row>
    <row r="5115" spans="1:38" s="11" customFormat="1" x14ac:dyDescent="0.25">
      <c r="A5115" s="3"/>
      <c r="F5115" s="19"/>
      <c r="G5115" s="19"/>
      <c r="N5115" s="19"/>
      <c r="P5115" s="19"/>
      <c r="AL5115" s="19"/>
    </row>
    <row r="5116" spans="1:38" s="11" customFormat="1" x14ac:dyDescent="0.25">
      <c r="A5116" s="3"/>
      <c r="F5116" s="19"/>
      <c r="G5116" s="19"/>
      <c r="N5116" s="19"/>
      <c r="P5116" s="19"/>
      <c r="AL5116" s="19"/>
    </row>
    <row r="5117" spans="1:38" s="11" customFormat="1" x14ac:dyDescent="0.25">
      <c r="A5117" s="3"/>
      <c r="F5117" s="19"/>
      <c r="G5117" s="19"/>
      <c r="N5117" s="19"/>
      <c r="P5117" s="19"/>
      <c r="AL5117" s="19"/>
    </row>
    <row r="5118" spans="1:38" s="11" customFormat="1" x14ac:dyDescent="0.25">
      <c r="A5118" s="3"/>
      <c r="F5118" s="19"/>
      <c r="G5118" s="19"/>
      <c r="N5118" s="19"/>
      <c r="P5118" s="19"/>
      <c r="AL5118" s="19"/>
    </row>
    <row r="5119" spans="1:38" s="11" customFormat="1" x14ac:dyDescent="0.25">
      <c r="A5119" s="3"/>
      <c r="F5119" s="19"/>
      <c r="G5119" s="19"/>
      <c r="N5119" s="19"/>
      <c r="P5119" s="19"/>
      <c r="AL5119" s="19"/>
    </row>
    <row r="5120" spans="1:38" s="11" customFormat="1" x14ac:dyDescent="0.25">
      <c r="A5120" s="3"/>
      <c r="F5120" s="19"/>
      <c r="G5120" s="19"/>
      <c r="N5120" s="19"/>
      <c r="P5120" s="19"/>
      <c r="AL5120" s="19"/>
    </row>
    <row r="5121" spans="1:38" s="11" customFormat="1" x14ac:dyDescent="0.25">
      <c r="A5121" s="3"/>
      <c r="F5121" s="19"/>
      <c r="G5121" s="19"/>
      <c r="N5121" s="19"/>
      <c r="P5121" s="19"/>
      <c r="AL5121" s="19"/>
    </row>
    <row r="5122" spans="1:38" s="11" customFormat="1" x14ac:dyDescent="0.25">
      <c r="A5122" s="3"/>
      <c r="F5122" s="19"/>
      <c r="G5122" s="19"/>
      <c r="N5122" s="19"/>
      <c r="P5122" s="19"/>
      <c r="AL5122" s="19"/>
    </row>
    <row r="5123" spans="1:38" s="11" customFormat="1" x14ac:dyDescent="0.25">
      <c r="A5123" s="3"/>
      <c r="F5123" s="19"/>
      <c r="G5123" s="19"/>
      <c r="N5123" s="19"/>
      <c r="P5123" s="19"/>
      <c r="AL5123" s="19"/>
    </row>
    <row r="5124" spans="1:38" s="11" customFormat="1" x14ac:dyDescent="0.25">
      <c r="A5124" s="3"/>
      <c r="F5124" s="19"/>
      <c r="G5124" s="19"/>
      <c r="N5124" s="19"/>
      <c r="P5124" s="19"/>
      <c r="AL5124" s="19"/>
    </row>
    <row r="5125" spans="1:38" s="11" customFormat="1" x14ac:dyDescent="0.25">
      <c r="A5125" s="3"/>
      <c r="F5125" s="19"/>
      <c r="G5125" s="19"/>
      <c r="N5125" s="19"/>
      <c r="P5125" s="19"/>
      <c r="AL5125" s="19"/>
    </row>
    <row r="5126" spans="1:38" s="11" customFormat="1" x14ac:dyDescent="0.25">
      <c r="A5126" s="3"/>
      <c r="F5126" s="19"/>
      <c r="G5126" s="19"/>
      <c r="N5126" s="19"/>
      <c r="P5126" s="19"/>
      <c r="AL5126" s="19"/>
    </row>
    <row r="5127" spans="1:38" s="11" customFormat="1" x14ac:dyDescent="0.25">
      <c r="A5127" s="3"/>
      <c r="F5127" s="19"/>
      <c r="G5127" s="19"/>
      <c r="N5127" s="19"/>
      <c r="P5127" s="19"/>
      <c r="AL5127" s="19"/>
    </row>
    <row r="5128" spans="1:38" s="11" customFormat="1" x14ac:dyDescent="0.25">
      <c r="A5128" s="3"/>
      <c r="F5128" s="19"/>
      <c r="G5128" s="19"/>
      <c r="N5128" s="19"/>
      <c r="P5128" s="19"/>
      <c r="AL5128" s="19"/>
    </row>
    <row r="5129" spans="1:38" s="11" customFormat="1" x14ac:dyDescent="0.25">
      <c r="A5129" s="3"/>
      <c r="F5129" s="19"/>
      <c r="G5129" s="19"/>
      <c r="N5129" s="19"/>
      <c r="P5129" s="19"/>
      <c r="AL5129" s="19"/>
    </row>
    <row r="5130" spans="1:38" s="11" customFormat="1" x14ac:dyDescent="0.25">
      <c r="A5130" s="3"/>
      <c r="F5130" s="19"/>
      <c r="G5130" s="19"/>
      <c r="N5130" s="19"/>
      <c r="P5130" s="19"/>
      <c r="AL5130" s="19"/>
    </row>
    <row r="5131" spans="1:38" s="11" customFormat="1" x14ac:dyDescent="0.25">
      <c r="A5131" s="3"/>
      <c r="F5131" s="19"/>
      <c r="G5131" s="19"/>
      <c r="N5131" s="19"/>
      <c r="P5131" s="19"/>
      <c r="AL5131" s="19"/>
    </row>
    <row r="5132" spans="1:38" s="11" customFormat="1" x14ac:dyDescent="0.25">
      <c r="A5132" s="3"/>
      <c r="F5132" s="19"/>
      <c r="G5132" s="19"/>
      <c r="N5132" s="19"/>
      <c r="P5132" s="19"/>
      <c r="AL5132" s="19"/>
    </row>
    <row r="5133" spans="1:38" s="11" customFormat="1" x14ac:dyDescent="0.25">
      <c r="A5133" s="3"/>
      <c r="F5133" s="19"/>
      <c r="G5133" s="19"/>
      <c r="N5133" s="19"/>
      <c r="P5133" s="19"/>
      <c r="AL5133" s="19"/>
    </row>
    <row r="5134" spans="1:38" s="11" customFormat="1" x14ac:dyDescent="0.25">
      <c r="A5134" s="3"/>
      <c r="F5134" s="19"/>
      <c r="G5134" s="19"/>
      <c r="N5134" s="19"/>
      <c r="P5134" s="19"/>
      <c r="AL5134" s="19"/>
    </row>
    <row r="5135" spans="1:38" s="11" customFormat="1" x14ac:dyDescent="0.25">
      <c r="A5135" s="3"/>
      <c r="F5135" s="19"/>
      <c r="G5135" s="19"/>
      <c r="N5135" s="19"/>
      <c r="P5135" s="19"/>
      <c r="AL5135" s="19"/>
    </row>
    <row r="5136" spans="1:38" s="11" customFormat="1" x14ac:dyDescent="0.25">
      <c r="A5136" s="3"/>
      <c r="F5136" s="19"/>
      <c r="G5136" s="19"/>
      <c r="N5136" s="19"/>
      <c r="P5136" s="19"/>
      <c r="AL5136" s="19"/>
    </row>
    <row r="5137" spans="1:38" s="11" customFormat="1" x14ac:dyDescent="0.25">
      <c r="A5137" s="3"/>
      <c r="F5137" s="19"/>
      <c r="G5137" s="19"/>
      <c r="N5137" s="19"/>
      <c r="P5137" s="19"/>
      <c r="AL5137" s="19"/>
    </row>
    <row r="5138" spans="1:38" s="11" customFormat="1" x14ac:dyDescent="0.25">
      <c r="A5138" s="3"/>
      <c r="F5138" s="19"/>
      <c r="G5138" s="19"/>
      <c r="N5138" s="19"/>
      <c r="P5138" s="19"/>
      <c r="AL5138" s="19"/>
    </row>
    <row r="5139" spans="1:38" s="11" customFormat="1" x14ac:dyDescent="0.25">
      <c r="A5139" s="3"/>
      <c r="F5139" s="19"/>
      <c r="G5139" s="19"/>
      <c r="N5139" s="19"/>
      <c r="P5139" s="19"/>
      <c r="AL5139" s="19"/>
    </row>
    <row r="5140" spans="1:38" s="11" customFormat="1" x14ac:dyDescent="0.25">
      <c r="A5140" s="3"/>
      <c r="F5140" s="19"/>
      <c r="G5140" s="19"/>
      <c r="N5140" s="19"/>
      <c r="P5140" s="19"/>
      <c r="AL5140" s="19"/>
    </row>
    <row r="5141" spans="1:38" s="11" customFormat="1" x14ac:dyDescent="0.25">
      <c r="A5141" s="3"/>
      <c r="F5141" s="19"/>
      <c r="G5141" s="19"/>
      <c r="N5141" s="19"/>
      <c r="P5141" s="19"/>
      <c r="AL5141" s="19"/>
    </row>
    <row r="5142" spans="1:38" s="11" customFormat="1" x14ac:dyDescent="0.25">
      <c r="A5142" s="3"/>
      <c r="F5142" s="19"/>
      <c r="G5142" s="19"/>
      <c r="N5142" s="19"/>
      <c r="P5142" s="19"/>
      <c r="AL5142" s="19"/>
    </row>
    <row r="5143" spans="1:38" s="11" customFormat="1" x14ac:dyDescent="0.25">
      <c r="A5143" s="3"/>
      <c r="F5143" s="19"/>
      <c r="G5143" s="19"/>
      <c r="N5143" s="19"/>
      <c r="P5143" s="19"/>
      <c r="AL5143" s="19"/>
    </row>
    <row r="5144" spans="1:38" s="11" customFormat="1" x14ac:dyDescent="0.25">
      <c r="A5144" s="3"/>
      <c r="F5144" s="19"/>
      <c r="G5144" s="19"/>
      <c r="N5144" s="19"/>
      <c r="P5144" s="19"/>
      <c r="AL5144" s="19"/>
    </row>
    <row r="5145" spans="1:38" s="11" customFormat="1" x14ac:dyDescent="0.25">
      <c r="A5145" s="3"/>
      <c r="F5145" s="19"/>
      <c r="G5145" s="19"/>
      <c r="N5145" s="19"/>
      <c r="P5145" s="19"/>
      <c r="AL5145" s="19"/>
    </row>
    <row r="5146" spans="1:38" s="11" customFormat="1" x14ac:dyDescent="0.25">
      <c r="A5146" s="3"/>
      <c r="F5146" s="19"/>
      <c r="G5146" s="19"/>
      <c r="N5146" s="19"/>
      <c r="P5146" s="19"/>
      <c r="AL5146" s="19"/>
    </row>
    <row r="5147" spans="1:38" s="11" customFormat="1" x14ac:dyDescent="0.25">
      <c r="A5147" s="3"/>
      <c r="F5147" s="19"/>
      <c r="G5147" s="19"/>
      <c r="N5147" s="19"/>
      <c r="P5147" s="19"/>
      <c r="AL5147" s="19"/>
    </row>
    <row r="5148" spans="1:38" s="11" customFormat="1" x14ac:dyDescent="0.25">
      <c r="A5148" s="3"/>
      <c r="F5148" s="19"/>
      <c r="G5148" s="19"/>
      <c r="N5148" s="19"/>
      <c r="P5148" s="19"/>
      <c r="AL5148" s="19"/>
    </row>
    <row r="5149" spans="1:38" s="11" customFormat="1" x14ac:dyDescent="0.25">
      <c r="A5149" s="3"/>
      <c r="F5149" s="19"/>
      <c r="G5149" s="19"/>
      <c r="N5149" s="19"/>
      <c r="P5149" s="19"/>
      <c r="AL5149" s="19"/>
    </row>
    <row r="5150" spans="1:38" s="11" customFormat="1" x14ac:dyDescent="0.25">
      <c r="A5150" s="3"/>
      <c r="F5150" s="19"/>
      <c r="G5150" s="19"/>
      <c r="N5150" s="19"/>
      <c r="P5150" s="19"/>
      <c r="AL5150" s="19"/>
    </row>
    <row r="5151" spans="1:38" s="11" customFormat="1" x14ac:dyDescent="0.25">
      <c r="A5151" s="3"/>
      <c r="F5151" s="19"/>
      <c r="G5151" s="19"/>
      <c r="N5151" s="19"/>
      <c r="P5151" s="19"/>
      <c r="AL5151" s="19"/>
    </row>
    <row r="5152" spans="1:38" s="11" customFormat="1" x14ac:dyDescent="0.25">
      <c r="A5152" s="3"/>
      <c r="F5152" s="19"/>
      <c r="G5152" s="19"/>
      <c r="N5152" s="19"/>
      <c r="P5152" s="19"/>
      <c r="AL5152" s="19"/>
    </row>
    <row r="5153" spans="1:38" s="11" customFormat="1" x14ac:dyDescent="0.25">
      <c r="A5153" s="3"/>
      <c r="F5153" s="19"/>
      <c r="G5153" s="19"/>
      <c r="N5153" s="19"/>
      <c r="P5153" s="19"/>
      <c r="AL5153" s="19"/>
    </row>
    <row r="5154" spans="1:38" s="11" customFormat="1" x14ac:dyDescent="0.25">
      <c r="A5154" s="3"/>
      <c r="F5154" s="19"/>
      <c r="G5154" s="19"/>
      <c r="N5154" s="19"/>
      <c r="P5154" s="19"/>
      <c r="AL5154" s="19"/>
    </row>
    <row r="5155" spans="1:38" s="11" customFormat="1" x14ac:dyDescent="0.25">
      <c r="A5155" s="3"/>
      <c r="F5155" s="19"/>
      <c r="G5155" s="19"/>
      <c r="N5155" s="19"/>
      <c r="P5155" s="19"/>
      <c r="AL5155" s="19"/>
    </row>
    <row r="5156" spans="1:38" s="11" customFormat="1" x14ac:dyDescent="0.25">
      <c r="A5156" s="3"/>
      <c r="F5156" s="19"/>
      <c r="G5156" s="19"/>
      <c r="N5156" s="19"/>
      <c r="P5156" s="19"/>
      <c r="AL5156" s="19"/>
    </row>
    <row r="5157" spans="1:38" s="11" customFormat="1" x14ac:dyDescent="0.25">
      <c r="A5157" s="3"/>
      <c r="F5157" s="19"/>
      <c r="G5157" s="19"/>
      <c r="N5157" s="19"/>
      <c r="P5157" s="19"/>
      <c r="AL5157" s="19"/>
    </row>
    <row r="5158" spans="1:38" s="11" customFormat="1" x14ac:dyDescent="0.25">
      <c r="A5158" s="3"/>
      <c r="F5158" s="19"/>
      <c r="G5158" s="19"/>
      <c r="N5158" s="19"/>
      <c r="P5158" s="19"/>
      <c r="AL5158" s="19"/>
    </row>
    <row r="5159" spans="1:38" s="11" customFormat="1" x14ac:dyDescent="0.25">
      <c r="A5159" s="3"/>
      <c r="F5159" s="19"/>
      <c r="G5159" s="19"/>
      <c r="N5159" s="19"/>
      <c r="P5159" s="19"/>
      <c r="AL5159" s="19"/>
    </row>
    <row r="5160" spans="1:38" s="11" customFormat="1" x14ac:dyDescent="0.25">
      <c r="A5160" s="3"/>
      <c r="F5160" s="19"/>
      <c r="G5160" s="19"/>
      <c r="N5160" s="19"/>
      <c r="P5160" s="19"/>
      <c r="AL5160" s="19"/>
    </row>
    <row r="5161" spans="1:38" s="11" customFormat="1" x14ac:dyDescent="0.25">
      <c r="A5161" s="3"/>
      <c r="F5161" s="19"/>
      <c r="G5161" s="19"/>
      <c r="N5161" s="19"/>
      <c r="P5161" s="19"/>
      <c r="AL5161" s="19"/>
    </row>
    <row r="5162" spans="1:38" s="11" customFormat="1" x14ac:dyDescent="0.25">
      <c r="A5162" s="3"/>
      <c r="F5162" s="19"/>
      <c r="G5162" s="19"/>
      <c r="N5162" s="19"/>
      <c r="P5162" s="19"/>
      <c r="AL5162" s="19"/>
    </row>
    <row r="5163" spans="1:38" s="11" customFormat="1" x14ac:dyDescent="0.25">
      <c r="A5163" s="3"/>
      <c r="F5163" s="19"/>
      <c r="G5163" s="19"/>
      <c r="N5163" s="19"/>
      <c r="P5163" s="19"/>
      <c r="AL5163" s="19"/>
    </row>
    <row r="5164" spans="1:38" s="11" customFormat="1" x14ac:dyDescent="0.25">
      <c r="A5164" s="3"/>
      <c r="F5164" s="19"/>
      <c r="G5164" s="19"/>
      <c r="N5164" s="19"/>
      <c r="P5164" s="19"/>
      <c r="AL5164" s="19"/>
    </row>
    <row r="5165" spans="1:38" s="11" customFormat="1" x14ac:dyDescent="0.25">
      <c r="A5165" s="3"/>
      <c r="F5165" s="19"/>
      <c r="G5165" s="19"/>
      <c r="N5165" s="19"/>
      <c r="P5165" s="19"/>
      <c r="AL5165" s="19"/>
    </row>
    <row r="5166" spans="1:38" s="11" customFormat="1" x14ac:dyDescent="0.25">
      <c r="A5166" s="3"/>
      <c r="F5166" s="19"/>
      <c r="G5166" s="19"/>
      <c r="N5166" s="19"/>
      <c r="P5166" s="19"/>
      <c r="AL5166" s="19"/>
    </row>
    <row r="5167" spans="1:38" s="11" customFormat="1" x14ac:dyDescent="0.25">
      <c r="A5167" s="3"/>
      <c r="F5167" s="19"/>
      <c r="G5167" s="19"/>
      <c r="N5167" s="19"/>
      <c r="P5167" s="19"/>
      <c r="AL5167" s="19"/>
    </row>
    <row r="5168" spans="1:38" s="11" customFormat="1" x14ac:dyDescent="0.25">
      <c r="A5168" s="3"/>
      <c r="F5168" s="19"/>
      <c r="G5168" s="19"/>
      <c r="N5168" s="19"/>
      <c r="P5168" s="19"/>
      <c r="AL5168" s="19"/>
    </row>
    <row r="5169" spans="1:38" s="11" customFormat="1" x14ac:dyDescent="0.25">
      <c r="A5169" s="3"/>
      <c r="F5169" s="19"/>
      <c r="G5169" s="19"/>
      <c r="N5169" s="19"/>
      <c r="P5169" s="19"/>
      <c r="AL5169" s="19"/>
    </row>
    <row r="5170" spans="1:38" s="11" customFormat="1" x14ac:dyDescent="0.25">
      <c r="A5170" s="3"/>
      <c r="F5170" s="19"/>
      <c r="G5170" s="19"/>
      <c r="N5170" s="19"/>
      <c r="P5170" s="19"/>
      <c r="AL5170" s="19"/>
    </row>
    <row r="5171" spans="1:38" s="11" customFormat="1" x14ac:dyDescent="0.25">
      <c r="A5171" s="3"/>
      <c r="F5171" s="19"/>
      <c r="G5171" s="19"/>
      <c r="N5171" s="19"/>
      <c r="P5171" s="19"/>
      <c r="AL5171" s="19"/>
    </row>
    <row r="5172" spans="1:38" s="11" customFormat="1" x14ac:dyDescent="0.25">
      <c r="A5172" s="3"/>
      <c r="F5172" s="19"/>
      <c r="G5172" s="19"/>
      <c r="N5172" s="19"/>
      <c r="P5172" s="19"/>
      <c r="AL5172" s="19"/>
    </row>
    <row r="5173" spans="1:38" s="11" customFormat="1" x14ac:dyDescent="0.25">
      <c r="A5173" s="3"/>
      <c r="F5173" s="19"/>
      <c r="G5173" s="19"/>
      <c r="N5173" s="19"/>
      <c r="P5173" s="19"/>
      <c r="AL5173" s="19"/>
    </row>
    <row r="5174" spans="1:38" s="11" customFormat="1" x14ac:dyDescent="0.25">
      <c r="A5174" s="3"/>
      <c r="F5174" s="19"/>
      <c r="G5174" s="19"/>
      <c r="N5174" s="19"/>
      <c r="P5174" s="19"/>
      <c r="AL5174" s="19"/>
    </row>
    <row r="5175" spans="1:38" s="11" customFormat="1" x14ac:dyDescent="0.25">
      <c r="A5175" s="3"/>
      <c r="F5175" s="19"/>
      <c r="G5175" s="19"/>
      <c r="N5175" s="19"/>
      <c r="P5175" s="19"/>
      <c r="AL5175" s="19"/>
    </row>
    <row r="5176" spans="1:38" s="11" customFormat="1" x14ac:dyDescent="0.25">
      <c r="A5176" s="3"/>
      <c r="F5176" s="19"/>
      <c r="G5176" s="19"/>
      <c r="N5176" s="19"/>
      <c r="P5176" s="19"/>
      <c r="AL5176" s="19"/>
    </row>
    <row r="5177" spans="1:38" s="11" customFormat="1" x14ac:dyDescent="0.25">
      <c r="A5177" s="3"/>
      <c r="F5177" s="19"/>
      <c r="G5177" s="19"/>
      <c r="N5177" s="19"/>
      <c r="P5177" s="19"/>
      <c r="AL5177" s="19"/>
    </row>
    <row r="5178" spans="1:38" s="11" customFormat="1" x14ac:dyDescent="0.25">
      <c r="A5178" s="3"/>
      <c r="F5178" s="19"/>
      <c r="G5178" s="19"/>
      <c r="N5178" s="19"/>
      <c r="P5178" s="19"/>
      <c r="AL5178" s="19"/>
    </row>
    <row r="5179" spans="1:38" s="11" customFormat="1" x14ac:dyDescent="0.25">
      <c r="A5179" s="3"/>
      <c r="F5179" s="19"/>
      <c r="G5179" s="19"/>
      <c r="N5179" s="19"/>
      <c r="P5179" s="19"/>
      <c r="AL5179" s="19"/>
    </row>
    <row r="5180" spans="1:38" s="11" customFormat="1" x14ac:dyDescent="0.25">
      <c r="A5180" s="3"/>
      <c r="F5180" s="19"/>
      <c r="G5180" s="19"/>
      <c r="N5180" s="19"/>
      <c r="P5180" s="19"/>
      <c r="AL5180" s="19"/>
    </row>
    <row r="5181" spans="1:38" s="11" customFormat="1" x14ac:dyDescent="0.25">
      <c r="A5181" s="3"/>
      <c r="F5181" s="19"/>
      <c r="G5181" s="19"/>
      <c r="N5181" s="19"/>
      <c r="P5181" s="19"/>
      <c r="AL5181" s="19"/>
    </row>
    <row r="5182" spans="1:38" s="11" customFormat="1" x14ac:dyDescent="0.25">
      <c r="A5182" s="3"/>
      <c r="F5182" s="19"/>
      <c r="G5182" s="19"/>
      <c r="N5182" s="19"/>
      <c r="P5182" s="19"/>
      <c r="AL5182" s="19"/>
    </row>
    <row r="5183" spans="1:38" s="11" customFormat="1" x14ac:dyDescent="0.25">
      <c r="A5183" s="3"/>
      <c r="F5183" s="19"/>
      <c r="G5183" s="19"/>
      <c r="N5183" s="19"/>
      <c r="P5183" s="19"/>
      <c r="AL5183" s="19"/>
    </row>
    <row r="5184" spans="1:38" s="11" customFormat="1" x14ac:dyDescent="0.25">
      <c r="A5184" s="3"/>
      <c r="F5184" s="19"/>
      <c r="G5184" s="19"/>
      <c r="N5184" s="19"/>
      <c r="P5184" s="19"/>
      <c r="AL5184" s="19"/>
    </row>
    <row r="5185" spans="1:38" s="11" customFormat="1" x14ac:dyDescent="0.25">
      <c r="A5185" s="3"/>
      <c r="F5185" s="19"/>
      <c r="G5185" s="19"/>
      <c r="N5185" s="19"/>
      <c r="P5185" s="19"/>
      <c r="AL5185" s="19"/>
    </row>
    <row r="5186" spans="1:38" s="11" customFormat="1" x14ac:dyDescent="0.25">
      <c r="A5186" s="3"/>
      <c r="F5186" s="19"/>
      <c r="G5186" s="19"/>
      <c r="N5186" s="19"/>
      <c r="P5186" s="19"/>
      <c r="AL5186" s="19"/>
    </row>
    <row r="5187" spans="1:38" s="11" customFormat="1" x14ac:dyDescent="0.25">
      <c r="A5187" s="3"/>
      <c r="F5187" s="19"/>
      <c r="G5187" s="19"/>
      <c r="N5187" s="19"/>
      <c r="P5187" s="19"/>
      <c r="AL5187" s="19"/>
    </row>
    <row r="5188" spans="1:38" s="11" customFormat="1" x14ac:dyDescent="0.25">
      <c r="A5188" s="3"/>
      <c r="F5188" s="19"/>
      <c r="G5188" s="19"/>
      <c r="N5188" s="19"/>
      <c r="P5188" s="19"/>
      <c r="AL5188" s="19"/>
    </row>
    <row r="5189" spans="1:38" s="11" customFormat="1" x14ac:dyDescent="0.25">
      <c r="A5189" s="3"/>
      <c r="F5189" s="19"/>
      <c r="G5189" s="19"/>
      <c r="N5189" s="19"/>
      <c r="P5189" s="19"/>
      <c r="AL5189" s="19"/>
    </row>
    <row r="5190" spans="1:38" s="11" customFormat="1" x14ac:dyDescent="0.25">
      <c r="A5190" s="3"/>
      <c r="F5190" s="19"/>
      <c r="G5190" s="19"/>
      <c r="N5190" s="19"/>
      <c r="P5190" s="19"/>
      <c r="AL5190" s="19"/>
    </row>
    <row r="5191" spans="1:38" s="11" customFormat="1" x14ac:dyDescent="0.25">
      <c r="A5191" s="3"/>
      <c r="F5191" s="19"/>
      <c r="G5191" s="19"/>
      <c r="N5191" s="19"/>
      <c r="P5191" s="19"/>
      <c r="AL5191" s="19"/>
    </row>
    <row r="5192" spans="1:38" s="11" customFormat="1" x14ac:dyDescent="0.25">
      <c r="A5192" s="3"/>
      <c r="F5192" s="19"/>
      <c r="G5192" s="19"/>
      <c r="N5192" s="19"/>
      <c r="P5192" s="19"/>
      <c r="AL5192" s="19"/>
    </row>
    <row r="5193" spans="1:38" s="11" customFormat="1" x14ac:dyDescent="0.25">
      <c r="A5193" s="3"/>
      <c r="F5193" s="19"/>
      <c r="G5193" s="19"/>
      <c r="N5193" s="19"/>
      <c r="P5193" s="19"/>
      <c r="AL5193" s="19"/>
    </row>
    <row r="5194" spans="1:38" s="11" customFormat="1" x14ac:dyDescent="0.25">
      <c r="A5194" s="3"/>
      <c r="F5194" s="19"/>
      <c r="G5194" s="19"/>
      <c r="N5194" s="19"/>
      <c r="P5194" s="19"/>
      <c r="AL5194" s="19"/>
    </row>
    <row r="5195" spans="1:38" s="11" customFormat="1" x14ac:dyDescent="0.25">
      <c r="A5195" s="3"/>
      <c r="F5195" s="19"/>
      <c r="G5195" s="19"/>
      <c r="N5195" s="19"/>
      <c r="P5195" s="19"/>
      <c r="AL5195" s="19"/>
    </row>
    <row r="5196" spans="1:38" s="11" customFormat="1" x14ac:dyDescent="0.25">
      <c r="A5196" s="3"/>
      <c r="F5196" s="19"/>
      <c r="G5196" s="19"/>
      <c r="N5196" s="19"/>
      <c r="P5196" s="19"/>
      <c r="AL5196" s="19"/>
    </row>
    <row r="5197" spans="1:38" s="11" customFormat="1" x14ac:dyDescent="0.25">
      <c r="A5197" s="3"/>
      <c r="F5197" s="19"/>
      <c r="G5197" s="19"/>
      <c r="N5197" s="19"/>
      <c r="P5197" s="19"/>
      <c r="AL5197" s="19"/>
    </row>
    <row r="5198" spans="1:38" s="11" customFormat="1" x14ac:dyDescent="0.25">
      <c r="A5198" s="3"/>
      <c r="F5198" s="19"/>
      <c r="G5198" s="19"/>
      <c r="N5198" s="19"/>
      <c r="P5198" s="19"/>
      <c r="AL5198" s="19"/>
    </row>
    <row r="5199" spans="1:38" s="11" customFormat="1" x14ac:dyDescent="0.25">
      <c r="A5199" s="3"/>
      <c r="F5199" s="19"/>
      <c r="G5199" s="19"/>
      <c r="N5199" s="19"/>
      <c r="P5199" s="19"/>
      <c r="AL5199" s="19"/>
    </row>
    <row r="5200" spans="1:38" s="11" customFormat="1" x14ac:dyDescent="0.25">
      <c r="A5200" s="3"/>
      <c r="F5200" s="19"/>
      <c r="G5200" s="19"/>
      <c r="N5200" s="19"/>
      <c r="P5200" s="19"/>
      <c r="AL5200" s="19"/>
    </row>
    <row r="5201" spans="1:38" s="11" customFormat="1" x14ac:dyDescent="0.25">
      <c r="A5201" s="3"/>
      <c r="F5201" s="19"/>
      <c r="G5201" s="19"/>
      <c r="N5201" s="19"/>
      <c r="P5201" s="19"/>
      <c r="AL5201" s="19"/>
    </row>
    <row r="5202" spans="1:38" s="11" customFormat="1" x14ac:dyDescent="0.25">
      <c r="A5202" s="3"/>
      <c r="F5202" s="19"/>
      <c r="G5202" s="19"/>
      <c r="N5202" s="19"/>
      <c r="P5202" s="19"/>
      <c r="AL5202" s="19"/>
    </row>
    <row r="5203" spans="1:38" s="11" customFormat="1" x14ac:dyDescent="0.25">
      <c r="A5203" s="3"/>
      <c r="F5203" s="19"/>
      <c r="G5203" s="19"/>
      <c r="N5203" s="19"/>
      <c r="P5203" s="19"/>
      <c r="AL5203" s="19"/>
    </row>
    <row r="5204" spans="1:38" s="11" customFormat="1" x14ac:dyDescent="0.25">
      <c r="A5204" s="3"/>
      <c r="F5204" s="19"/>
      <c r="G5204" s="19"/>
      <c r="N5204" s="19"/>
      <c r="P5204" s="19"/>
      <c r="AL5204" s="19"/>
    </row>
    <row r="5205" spans="1:38" s="11" customFormat="1" x14ac:dyDescent="0.25">
      <c r="A5205" s="3"/>
      <c r="F5205" s="19"/>
      <c r="G5205" s="19"/>
      <c r="N5205" s="19"/>
      <c r="P5205" s="19"/>
      <c r="AL5205" s="19"/>
    </row>
    <row r="5206" spans="1:38" s="11" customFormat="1" x14ac:dyDescent="0.25">
      <c r="A5206" s="3"/>
      <c r="F5206" s="19"/>
      <c r="G5206" s="19"/>
      <c r="N5206" s="19"/>
      <c r="P5206" s="19"/>
      <c r="AL5206" s="19"/>
    </row>
    <row r="5207" spans="1:38" s="11" customFormat="1" x14ac:dyDescent="0.25">
      <c r="A5207" s="3"/>
      <c r="F5207" s="19"/>
      <c r="G5207" s="19"/>
      <c r="N5207" s="19"/>
      <c r="P5207" s="19"/>
      <c r="AL5207" s="19"/>
    </row>
    <row r="5208" spans="1:38" s="11" customFormat="1" x14ac:dyDescent="0.25">
      <c r="A5208" s="3"/>
      <c r="F5208" s="19"/>
      <c r="G5208" s="19"/>
      <c r="N5208" s="19"/>
      <c r="P5208" s="19"/>
      <c r="AL5208" s="19"/>
    </row>
    <row r="5209" spans="1:38" s="11" customFormat="1" x14ac:dyDescent="0.25">
      <c r="A5209" s="3"/>
      <c r="F5209" s="19"/>
      <c r="G5209" s="19"/>
      <c r="N5209" s="19"/>
      <c r="P5209" s="19"/>
      <c r="AL5209" s="19"/>
    </row>
    <row r="5210" spans="1:38" s="11" customFormat="1" x14ac:dyDescent="0.25">
      <c r="A5210" s="3"/>
      <c r="F5210" s="19"/>
      <c r="G5210" s="19"/>
      <c r="N5210" s="19"/>
      <c r="P5210" s="19"/>
      <c r="AL5210" s="19"/>
    </row>
    <row r="5211" spans="1:38" s="11" customFormat="1" x14ac:dyDescent="0.25">
      <c r="A5211" s="3"/>
      <c r="F5211" s="19"/>
      <c r="G5211" s="19"/>
      <c r="N5211" s="19"/>
      <c r="P5211" s="19"/>
      <c r="AL5211" s="19"/>
    </row>
    <row r="5212" spans="1:38" s="11" customFormat="1" x14ac:dyDescent="0.25">
      <c r="A5212" s="3"/>
      <c r="F5212" s="19"/>
      <c r="G5212" s="19"/>
      <c r="N5212" s="19"/>
      <c r="P5212" s="19"/>
      <c r="AL5212" s="19"/>
    </row>
    <row r="5213" spans="1:38" s="11" customFormat="1" x14ac:dyDescent="0.25">
      <c r="A5213" s="3"/>
      <c r="F5213" s="19"/>
      <c r="G5213" s="19"/>
      <c r="N5213" s="19"/>
      <c r="P5213" s="19"/>
      <c r="AL5213" s="19"/>
    </row>
    <row r="5214" spans="1:38" s="11" customFormat="1" x14ac:dyDescent="0.25">
      <c r="A5214" s="3"/>
      <c r="F5214" s="19"/>
      <c r="G5214" s="19"/>
      <c r="N5214" s="19"/>
      <c r="P5214" s="19"/>
      <c r="AL5214" s="19"/>
    </row>
    <row r="5215" spans="1:38" s="11" customFormat="1" x14ac:dyDescent="0.25">
      <c r="A5215" s="3"/>
      <c r="F5215" s="19"/>
      <c r="G5215" s="19"/>
      <c r="N5215" s="19"/>
      <c r="P5215" s="19"/>
      <c r="AL5215" s="19"/>
    </row>
    <row r="5216" spans="1:38" s="11" customFormat="1" x14ac:dyDescent="0.25">
      <c r="A5216" s="3"/>
      <c r="F5216" s="19"/>
      <c r="G5216" s="19"/>
      <c r="N5216" s="19"/>
      <c r="P5216" s="19"/>
      <c r="AL5216" s="19"/>
    </row>
    <row r="5217" spans="1:38" s="11" customFormat="1" x14ac:dyDescent="0.25">
      <c r="A5217" s="3"/>
      <c r="F5217" s="19"/>
      <c r="G5217" s="19"/>
      <c r="N5217" s="19"/>
      <c r="P5217" s="19"/>
      <c r="AL5217" s="19"/>
    </row>
    <row r="5218" spans="1:38" s="11" customFormat="1" x14ac:dyDescent="0.25">
      <c r="A5218" s="3"/>
      <c r="F5218" s="19"/>
      <c r="G5218" s="19"/>
      <c r="N5218" s="19"/>
      <c r="P5218" s="19"/>
      <c r="AL5218" s="19"/>
    </row>
    <row r="5219" spans="1:38" s="11" customFormat="1" x14ac:dyDescent="0.25">
      <c r="A5219" s="3"/>
      <c r="F5219" s="19"/>
      <c r="G5219" s="19"/>
      <c r="N5219" s="19"/>
      <c r="P5219" s="19"/>
      <c r="AL5219" s="19"/>
    </row>
    <row r="5220" spans="1:38" s="11" customFormat="1" x14ac:dyDescent="0.25">
      <c r="A5220" s="3"/>
      <c r="F5220" s="19"/>
      <c r="G5220" s="19"/>
      <c r="N5220" s="19"/>
      <c r="P5220" s="19"/>
      <c r="AL5220" s="19"/>
    </row>
    <row r="5221" spans="1:38" s="11" customFormat="1" x14ac:dyDescent="0.25">
      <c r="A5221" s="3"/>
      <c r="F5221" s="19"/>
      <c r="G5221" s="19"/>
      <c r="N5221" s="19"/>
      <c r="P5221" s="19"/>
      <c r="AL5221" s="19"/>
    </row>
    <row r="5222" spans="1:38" s="11" customFormat="1" x14ac:dyDescent="0.25">
      <c r="A5222" s="3"/>
      <c r="F5222" s="19"/>
      <c r="G5222" s="19"/>
      <c r="N5222" s="19"/>
      <c r="P5222" s="19"/>
      <c r="AL5222" s="19"/>
    </row>
    <row r="5223" spans="1:38" s="11" customFormat="1" x14ac:dyDescent="0.25">
      <c r="A5223" s="3"/>
      <c r="F5223" s="19"/>
      <c r="G5223" s="19"/>
      <c r="N5223" s="19"/>
      <c r="P5223" s="19"/>
      <c r="AL5223" s="19"/>
    </row>
    <row r="5224" spans="1:38" s="11" customFormat="1" x14ac:dyDescent="0.25">
      <c r="A5224" s="3"/>
      <c r="F5224" s="19"/>
      <c r="G5224" s="19"/>
      <c r="N5224" s="19"/>
      <c r="P5224" s="19"/>
      <c r="AL5224" s="19"/>
    </row>
    <row r="5225" spans="1:38" s="11" customFormat="1" x14ac:dyDescent="0.25">
      <c r="A5225" s="3"/>
      <c r="F5225" s="19"/>
      <c r="G5225" s="19"/>
      <c r="N5225" s="19"/>
      <c r="P5225" s="19"/>
      <c r="AL5225" s="19"/>
    </row>
    <row r="5226" spans="1:38" s="11" customFormat="1" x14ac:dyDescent="0.25">
      <c r="A5226" s="3"/>
      <c r="F5226" s="19"/>
      <c r="G5226" s="19"/>
      <c r="N5226" s="19"/>
      <c r="P5226" s="19"/>
      <c r="AL5226" s="19"/>
    </row>
    <row r="5227" spans="1:38" s="11" customFormat="1" x14ac:dyDescent="0.25">
      <c r="A5227" s="3"/>
      <c r="F5227" s="19"/>
      <c r="G5227" s="19"/>
      <c r="N5227" s="19"/>
      <c r="P5227" s="19"/>
      <c r="AL5227" s="19"/>
    </row>
    <row r="5228" spans="1:38" s="11" customFormat="1" x14ac:dyDescent="0.25">
      <c r="A5228" s="3"/>
      <c r="F5228" s="19"/>
      <c r="G5228" s="19"/>
      <c r="N5228" s="19"/>
      <c r="P5228" s="19"/>
      <c r="AL5228" s="19"/>
    </row>
    <row r="5229" spans="1:38" s="11" customFormat="1" x14ac:dyDescent="0.25">
      <c r="A5229" s="3"/>
      <c r="F5229" s="19"/>
      <c r="G5229" s="19"/>
      <c r="N5229" s="19"/>
      <c r="P5229" s="19"/>
      <c r="AL5229" s="19"/>
    </row>
    <row r="5230" spans="1:38" s="11" customFormat="1" x14ac:dyDescent="0.25">
      <c r="A5230" s="3"/>
      <c r="F5230" s="19"/>
      <c r="G5230" s="19"/>
      <c r="N5230" s="19"/>
      <c r="P5230" s="19"/>
      <c r="AL5230" s="19"/>
    </row>
    <row r="5231" spans="1:38" s="11" customFormat="1" x14ac:dyDescent="0.25">
      <c r="A5231" s="3"/>
      <c r="F5231" s="19"/>
      <c r="G5231" s="19"/>
      <c r="N5231" s="19"/>
      <c r="P5231" s="19"/>
      <c r="AL5231" s="19"/>
    </row>
    <row r="5232" spans="1:38" s="11" customFormat="1" x14ac:dyDescent="0.25">
      <c r="A5232" s="3"/>
      <c r="F5232" s="19"/>
      <c r="G5232" s="19"/>
      <c r="N5232" s="19"/>
      <c r="P5232" s="19"/>
      <c r="AL5232" s="19"/>
    </row>
    <row r="5233" spans="1:38" s="11" customFormat="1" x14ac:dyDescent="0.25">
      <c r="A5233" s="3"/>
      <c r="F5233" s="19"/>
      <c r="G5233" s="19"/>
      <c r="N5233" s="19"/>
      <c r="P5233" s="19"/>
      <c r="AL5233" s="19"/>
    </row>
    <row r="5234" spans="1:38" s="11" customFormat="1" x14ac:dyDescent="0.25">
      <c r="A5234" s="3"/>
      <c r="F5234" s="19"/>
      <c r="G5234" s="19"/>
      <c r="N5234" s="19"/>
      <c r="P5234" s="19"/>
      <c r="AL5234" s="19"/>
    </row>
    <row r="5235" spans="1:38" s="11" customFormat="1" x14ac:dyDescent="0.25">
      <c r="A5235" s="3"/>
      <c r="F5235" s="19"/>
      <c r="G5235" s="19"/>
      <c r="N5235" s="19"/>
      <c r="P5235" s="19"/>
      <c r="AL5235" s="19"/>
    </row>
    <row r="5236" spans="1:38" s="11" customFormat="1" x14ac:dyDescent="0.25">
      <c r="A5236" s="3"/>
      <c r="F5236" s="19"/>
      <c r="G5236" s="19"/>
      <c r="N5236" s="19"/>
      <c r="P5236" s="19"/>
      <c r="AL5236" s="19"/>
    </row>
    <row r="5237" spans="1:38" s="11" customFormat="1" x14ac:dyDescent="0.25">
      <c r="A5237" s="3"/>
      <c r="F5237" s="19"/>
      <c r="G5237" s="19"/>
      <c r="N5237" s="19"/>
      <c r="P5237" s="19"/>
      <c r="AL5237" s="19"/>
    </row>
    <row r="5238" spans="1:38" s="11" customFormat="1" x14ac:dyDescent="0.25">
      <c r="A5238" s="3"/>
      <c r="F5238" s="19"/>
      <c r="G5238" s="19"/>
      <c r="N5238" s="19"/>
      <c r="P5238" s="19"/>
      <c r="AL5238" s="19"/>
    </row>
    <row r="5239" spans="1:38" s="11" customFormat="1" x14ac:dyDescent="0.25">
      <c r="A5239" s="3"/>
      <c r="F5239" s="19"/>
      <c r="G5239" s="19"/>
      <c r="N5239" s="19"/>
      <c r="P5239" s="19"/>
      <c r="AL5239" s="19"/>
    </row>
    <row r="5240" spans="1:38" s="11" customFormat="1" x14ac:dyDescent="0.25">
      <c r="A5240" s="3"/>
      <c r="F5240" s="19"/>
      <c r="G5240" s="19"/>
      <c r="N5240" s="19"/>
      <c r="P5240" s="19"/>
      <c r="AL5240" s="19"/>
    </row>
    <row r="5241" spans="1:38" s="11" customFormat="1" x14ac:dyDescent="0.25">
      <c r="A5241" s="3"/>
      <c r="F5241" s="19"/>
      <c r="G5241" s="19"/>
      <c r="N5241" s="19"/>
      <c r="P5241" s="19"/>
      <c r="AL5241" s="19"/>
    </row>
    <row r="5242" spans="1:38" s="11" customFormat="1" x14ac:dyDescent="0.25">
      <c r="A5242" s="3"/>
      <c r="F5242" s="19"/>
      <c r="G5242" s="19"/>
      <c r="N5242" s="19"/>
      <c r="P5242" s="19"/>
      <c r="AL5242" s="19"/>
    </row>
    <row r="5243" spans="1:38" s="11" customFormat="1" x14ac:dyDescent="0.25">
      <c r="A5243" s="3"/>
      <c r="F5243" s="19"/>
      <c r="G5243" s="19"/>
      <c r="N5243" s="19"/>
      <c r="P5243" s="19"/>
      <c r="AL5243" s="19"/>
    </row>
    <row r="5244" spans="1:38" s="11" customFormat="1" x14ac:dyDescent="0.25">
      <c r="A5244" s="3"/>
      <c r="F5244" s="19"/>
      <c r="G5244" s="19"/>
      <c r="N5244" s="19"/>
      <c r="P5244" s="19"/>
      <c r="AL5244" s="19"/>
    </row>
    <row r="5245" spans="1:38" s="11" customFormat="1" x14ac:dyDescent="0.25">
      <c r="A5245" s="3"/>
      <c r="F5245" s="19"/>
      <c r="G5245" s="19"/>
      <c r="N5245" s="19"/>
      <c r="P5245" s="19"/>
      <c r="AL5245" s="19"/>
    </row>
    <row r="5246" spans="1:38" s="11" customFormat="1" x14ac:dyDescent="0.25">
      <c r="A5246" s="3"/>
      <c r="F5246" s="19"/>
      <c r="G5246" s="19"/>
      <c r="N5246" s="19"/>
      <c r="P5246" s="19"/>
      <c r="AL5246" s="19"/>
    </row>
    <row r="5247" spans="1:38" s="11" customFormat="1" x14ac:dyDescent="0.25">
      <c r="A5247" s="3"/>
      <c r="F5247" s="19"/>
      <c r="G5247" s="19"/>
      <c r="N5247" s="19"/>
      <c r="P5247" s="19"/>
      <c r="AL5247" s="19"/>
    </row>
    <row r="5248" spans="1:38" s="11" customFormat="1" x14ac:dyDescent="0.25">
      <c r="A5248" s="3"/>
      <c r="F5248" s="19"/>
      <c r="G5248" s="19"/>
      <c r="N5248" s="19"/>
      <c r="P5248" s="19"/>
      <c r="AL5248" s="19"/>
    </row>
    <row r="5249" spans="1:38" s="11" customFormat="1" x14ac:dyDescent="0.25">
      <c r="A5249" s="3"/>
      <c r="F5249" s="19"/>
      <c r="G5249" s="19"/>
      <c r="N5249" s="19"/>
      <c r="P5249" s="19"/>
      <c r="AL5249" s="19"/>
    </row>
    <row r="5250" spans="1:38" s="11" customFormat="1" x14ac:dyDescent="0.25">
      <c r="A5250" s="3"/>
      <c r="F5250" s="19"/>
      <c r="G5250" s="19"/>
      <c r="N5250" s="19"/>
      <c r="P5250" s="19"/>
      <c r="AL5250" s="19"/>
    </row>
    <row r="5251" spans="1:38" s="11" customFormat="1" x14ac:dyDescent="0.25">
      <c r="A5251" s="3"/>
      <c r="F5251" s="19"/>
      <c r="G5251" s="19"/>
      <c r="N5251" s="19"/>
      <c r="P5251" s="19"/>
      <c r="AL5251" s="19"/>
    </row>
    <row r="5252" spans="1:38" s="11" customFormat="1" x14ac:dyDescent="0.25">
      <c r="A5252" s="3"/>
      <c r="F5252" s="19"/>
      <c r="G5252" s="19"/>
      <c r="N5252" s="19"/>
      <c r="P5252" s="19"/>
      <c r="AL5252" s="19"/>
    </row>
    <row r="5253" spans="1:38" s="11" customFormat="1" x14ac:dyDescent="0.25">
      <c r="A5253" s="3"/>
      <c r="F5253" s="19"/>
      <c r="G5253" s="19"/>
      <c r="N5253" s="19"/>
      <c r="P5253" s="19"/>
      <c r="AL5253" s="19"/>
    </row>
    <row r="5254" spans="1:38" s="11" customFormat="1" x14ac:dyDescent="0.25">
      <c r="A5254" s="3"/>
      <c r="F5254" s="19"/>
      <c r="G5254" s="19"/>
      <c r="N5254" s="19"/>
      <c r="P5254" s="19"/>
      <c r="AL5254" s="19"/>
    </row>
    <row r="5255" spans="1:38" s="11" customFormat="1" x14ac:dyDescent="0.25">
      <c r="A5255" s="3"/>
      <c r="F5255" s="19"/>
      <c r="G5255" s="19"/>
      <c r="N5255" s="19"/>
      <c r="P5255" s="19"/>
      <c r="AL5255" s="19"/>
    </row>
    <row r="5256" spans="1:38" s="11" customFormat="1" x14ac:dyDescent="0.25">
      <c r="A5256" s="3"/>
      <c r="F5256" s="19"/>
      <c r="G5256" s="19"/>
      <c r="N5256" s="19"/>
      <c r="P5256" s="19"/>
      <c r="AL5256" s="19"/>
    </row>
    <row r="5257" spans="1:38" s="11" customFormat="1" x14ac:dyDescent="0.25">
      <c r="A5257" s="3"/>
      <c r="F5257" s="19"/>
      <c r="G5257" s="19"/>
      <c r="N5257" s="19"/>
      <c r="P5257" s="19"/>
      <c r="AL5257" s="19"/>
    </row>
    <row r="5258" spans="1:38" s="11" customFormat="1" x14ac:dyDescent="0.25">
      <c r="A5258" s="3"/>
      <c r="F5258" s="19"/>
      <c r="G5258" s="19"/>
      <c r="N5258" s="19"/>
      <c r="P5258" s="19"/>
      <c r="AL5258" s="19"/>
    </row>
    <row r="5259" spans="1:38" s="11" customFormat="1" x14ac:dyDescent="0.25">
      <c r="A5259" s="3"/>
      <c r="F5259" s="19"/>
      <c r="G5259" s="19"/>
      <c r="N5259" s="19"/>
      <c r="P5259" s="19"/>
      <c r="AL5259" s="19"/>
    </row>
    <row r="5260" spans="1:38" s="11" customFormat="1" x14ac:dyDescent="0.25">
      <c r="A5260" s="3"/>
      <c r="F5260" s="19"/>
      <c r="G5260" s="19"/>
      <c r="N5260" s="19"/>
      <c r="P5260" s="19"/>
      <c r="AL5260" s="19"/>
    </row>
    <row r="5261" spans="1:38" s="11" customFormat="1" x14ac:dyDescent="0.25">
      <c r="A5261" s="3"/>
      <c r="F5261" s="19"/>
      <c r="G5261" s="19"/>
      <c r="N5261" s="19"/>
      <c r="P5261" s="19"/>
      <c r="AL5261" s="19"/>
    </row>
    <row r="5262" spans="1:38" s="11" customFormat="1" x14ac:dyDescent="0.25">
      <c r="A5262" s="3"/>
      <c r="F5262" s="19"/>
      <c r="G5262" s="19"/>
      <c r="N5262" s="19"/>
      <c r="P5262" s="19"/>
      <c r="AL5262" s="19"/>
    </row>
    <row r="5263" spans="1:38" s="11" customFormat="1" x14ac:dyDescent="0.25">
      <c r="A5263" s="3"/>
      <c r="F5263" s="19"/>
      <c r="G5263" s="19"/>
      <c r="N5263" s="19"/>
      <c r="P5263" s="19"/>
      <c r="AL5263" s="19"/>
    </row>
    <row r="5264" spans="1:38" s="11" customFormat="1" x14ac:dyDescent="0.25">
      <c r="A5264" s="3"/>
      <c r="F5264" s="19"/>
      <c r="G5264" s="19"/>
      <c r="N5264" s="19"/>
      <c r="P5264" s="19"/>
      <c r="AL5264" s="19"/>
    </row>
    <row r="5265" spans="1:38" s="11" customFormat="1" x14ac:dyDescent="0.25">
      <c r="A5265" s="3"/>
      <c r="F5265" s="19"/>
      <c r="G5265" s="19"/>
      <c r="N5265" s="19"/>
      <c r="P5265" s="19"/>
      <c r="AL5265" s="19"/>
    </row>
    <row r="5266" spans="1:38" s="11" customFormat="1" x14ac:dyDescent="0.25">
      <c r="A5266" s="3"/>
      <c r="F5266" s="19"/>
      <c r="G5266" s="19"/>
      <c r="N5266" s="19"/>
      <c r="P5266" s="19"/>
      <c r="AL5266" s="19"/>
    </row>
    <row r="5267" spans="1:38" s="11" customFormat="1" x14ac:dyDescent="0.25">
      <c r="A5267" s="3"/>
      <c r="F5267" s="19"/>
      <c r="G5267" s="19"/>
      <c r="N5267" s="19"/>
      <c r="P5267" s="19"/>
      <c r="AL5267" s="19"/>
    </row>
    <row r="5268" spans="1:38" s="11" customFormat="1" x14ac:dyDescent="0.25">
      <c r="A5268" s="3"/>
      <c r="F5268" s="19"/>
      <c r="G5268" s="19"/>
      <c r="N5268" s="19"/>
      <c r="P5268" s="19"/>
      <c r="AL5268" s="19"/>
    </row>
    <row r="5269" spans="1:38" s="11" customFormat="1" x14ac:dyDescent="0.25">
      <c r="A5269" s="3"/>
      <c r="F5269" s="19"/>
      <c r="G5269" s="19"/>
      <c r="N5269" s="19"/>
      <c r="P5269" s="19"/>
      <c r="AL5269" s="19"/>
    </row>
    <row r="5270" spans="1:38" s="11" customFormat="1" x14ac:dyDescent="0.25">
      <c r="A5270" s="3"/>
      <c r="F5270" s="19"/>
      <c r="G5270" s="19"/>
      <c r="N5270" s="19"/>
      <c r="P5270" s="19"/>
      <c r="AL5270" s="19"/>
    </row>
    <row r="5271" spans="1:38" s="11" customFormat="1" x14ac:dyDescent="0.25">
      <c r="A5271" s="3"/>
      <c r="F5271" s="19"/>
      <c r="G5271" s="19"/>
      <c r="N5271" s="19"/>
      <c r="P5271" s="19"/>
      <c r="AL5271" s="19"/>
    </row>
    <row r="5272" spans="1:38" s="11" customFormat="1" x14ac:dyDescent="0.25">
      <c r="A5272" s="3"/>
      <c r="F5272" s="19"/>
      <c r="G5272" s="19"/>
      <c r="N5272" s="19"/>
      <c r="P5272" s="19"/>
      <c r="AL5272" s="19"/>
    </row>
    <row r="5273" spans="1:38" s="11" customFormat="1" x14ac:dyDescent="0.25">
      <c r="A5273" s="3"/>
      <c r="F5273" s="19"/>
      <c r="G5273" s="19"/>
      <c r="N5273" s="19"/>
      <c r="P5273" s="19"/>
      <c r="AL5273" s="19"/>
    </row>
    <row r="5274" spans="1:38" s="11" customFormat="1" x14ac:dyDescent="0.25">
      <c r="A5274" s="3"/>
      <c r="F5274" s="19"/>
      <c r="G5274" s="19"/>
      <c r="N5274" s="19"/>
      <c r="P5274" s="19"/>
      <c r="AL5274" s="19"/>
    </row>
    <row r="5275" spans="1:38" s="11" customFormat="1" x14ac:dyDescent="0.25">
      <c r="A5275" s="3"/>
      <c r="F5275" s="19"/>
      <c r="G5275" s="19"/>
      <c r="N5275" s="19"/>
      <c r="P5275" s="19"/>
      <c r="AL5275" s="19"/>
    </row>
    <row r="5276" spans="1:38" s="11" customFormat="1" x14ac:dyDescent="0.25">
      <c r="A5276" s="3"/>
      <c r="F5276" s="19"/>
      <c r="G5276" s="19"/>
      <c r="N5276" s="19"/>
      <c r="P5276" s="19"/>
      <c r="AL5276" s="19"/>
    </row>
    <row r="5277" spans="1:38" s="11" customFormat="1" x14ac:dyDescent="0.25">
      <c r="A5277" s="3"/>
      <c r="F5277" s="19"/>
      <c r="G5277" s="19"/>
      <c r="N5277" s="19"/>
      <c r="P5277" s="19"/>
      <c r="AL5277" s="19"/>
    </row>
    <row r="5278" spans="1:38" s="11" customFormat="1" x14ac:dyDescent="0.25">
      <c r="A5278" s="3"/>
      <c r="F5278" s="19"/>
      <c r="G5278" s="19"/>
      <c r="N5278" s="19"/>
      <c r="P5278" s="19"/>
      <c r="AL5278" s="19"/>
    </row>
    <row r="5279" spans="1:38" s="11" customFormat="1" x14ac:dyDescent="0.25">
      <c r="A5279" s="3"/>
      <c r="F5279" s="19"/>
      <c r="G5279" s="19"/>
      <c r="N5279" s="19"/>
      <c r="P5279" s="19"/>
      <c r="AL5279" s="19"/>
    </row>
    <row r="5280" spans="1:38" s="11" customFormat="1" x14ac:dyDescent="0.25">
      <c r="A5280" s="3"/>
      <c r="F5280" s="19"/>
      <c r="G5280" s="19"/>
      <c r="N5280" s="19"/>
      <c r="P5280" s="19"/>
      <c r="AL5280" s="19"/>
    </row>
    <row r="5281" spans="1:38" s="11" customFormat="1" x14ac:dyDescent="0.25">
      <c r="A5281" s="3"/>
      <c r="F5281" s="19"/>
      <c r="G5281" s="19"/>
      <c r="N5281" s="19"/>
      <c r="P5281" s="19"/>
      <c r="AL5281" s="19"/>
    </row>
    <row r="5282" spans="1:38" s="11" customFormat="1" x14ac:dyDescent="0.25">
      <c r="A5282" s="3"/>
      <c r="F5282" s="19"/>
      <c r="G5282" s="19"/>
      <c r="N5282" s="19"/>
      <c r="P5282" s="19"/>
      <c r="AL5282" s="19"/>
    </row>
    <row r="5283" spans="1:38" s="11" customFormat="1" x14ac:dyDescent="0.25">
      <c r="A5283" s="3"/>
      <c r="F5283" s="19"/>
      <c r="G5283" s="19"/>
      <c r="N5283" s="19"/>
      <c r="P5283" s="19"/>
      <c r="AL5283" s="19"/>
    </row>
    <row r="5284" spans="1:38" s="11" customFormat="1" x14ac:dyDescent="0.25">
      <c r="A5284" s="3"/>
      <c r="F5284" s="19"/>
      <c r="G5284" s="19"/>
      <c r="N5284" s="19"/>
      <c r="P5284" s="19"/>
      <c r="AL5284" s="19"/>
    </row>
    <row r="5285" spans="1:38" s="11" customFormat="1" x14ac:dyDescent="0.25">
      <c r="A5285" s="3"/>
      <c r="F5285" s="19"/>
      <c r="G5285" s="19"/>
      <c r="N5285" s="19"/>
      <c r="P5285" s="19"/>
      <c r="AL5285" s="19"/>
    </row>
    <row r="5286" spans="1:38" s="11" customFormat="1" x14ac:dyDescent="0.25">
      <c r="A5286" s="3"/>
      <c r="F5286" s="19"/>
      <c r="G5286" s="19"/>
      <c r="N5286" s="19"/>
      <c r="P5286" s="19"/>
      <c r="AL5286" s="19"/>
    </row>
    <row r="5287" spans="1:38" s="11" customFormat="1" x14ac:dyDescent="0.25">
      <c r="A5287" s="3"/>
      <c r="F5287" s="19"/>
      <c r="G5287" s="19"/>
      <c r="N5287" s="19"/>
      <c r="P5287" s="19"/>
      <c r="AL5287" s="19"/>
    </row>
    <row r="5288" spans="1:38" s="11" customFormat="1" x14ac:dyDescent="0.25">
      <c r="A5288" s="3"/>
      <c r="F5288" s="19"/>
      <c r="G5288" s="19"/>
      <c r="N5288" s="19"/>
      <c r="P5288" s="19"/>
      <c r="AL5288" s="19"/>
    </row>
    <row r="5289" spans="1:38" s="11" customFormat="1" x14ac:dyDescent="0.25">
      <c r="A5289" s="3"/>
      <c r="F5289" s="19"/>
      <c r="G5289" s="19"/>
      <c r="N5289" s="19"/>
      <c r="P5289" s="19"/>
      <c r="AL5289" s="19"/>
    </row>
    <row r="5290" spans="1:38" s="11" customFormat="1" x14ac:dyDescent="0.25">
      <c r="A5290" s="3"/>
      <c r="F5290" s="19"/>
      <c r="G5290" s="19"/>
      <c r="N5290" s="19"/>
      <c r="P5290" s="19"/>
      <c r="AL5290" s="19"/>
    </row>
    <row r="5291" spans="1:38" s="11" customFormat="1" x14ac:dyDescent="0.25">
      <c r="A5291" s="3"/>
      <c r="F5291" s="19"/>
      <c r="G5291" s="19"/>
      <c r="N5291" s="19"/>
      <c r="P5291" s="19"/>
      <c r="AL5291" s="19"/>
    </row>
    <row r="5292" spans="1:38" s="11" customFormat="1" x14ac:dyDescent="0.25">
      <c r="A5292" s="3"/>
      <c r="F5292" s="19"/>
      <c r="G5292" s="19"/>
      <c r="N5292" s="19"/>
      <c r="P5292" s="19"/>
      <c r="AL5292" s="19"/>
    </row>
    <row r="5293" spans="1:38" s="11" customFormat="1" x14ac:dyDescent="0.25">
      <c r="A5293" s="3"/>
      <c r="F5293" s="19"/>
      <c r="G5293" s="19"/>
      <c r="N5293" s="19"/>
      <c r="P5293" s="19"/>
      <c r="AL5293" s="19"/>
    </row>
    <row r="5294" spans="1:38" s="11" customFormat="1" x14ac:dyDescent="0.25">
      <c r="A5294" s="3"/>
      <c r="F5294" s="19"/>
      <c r="G5294" s="19"/>
      <c r="N5294" s="19"/>
      <c r="P5294" s="19"/>
      <c r="AL5294" s="19"/>
    </row>
    <row r="5295" spans="1:38" s="11" customFormat="1" x14ac:dyDescent="0.25">
      <c r="A5295" s="3"/>
      <c r="F5295" s="19"/>
      <c r="G5295" s="19"/>
      <c r="N5295" s="19"/>
      <c r="P5295" s="19"/>
      <c r="AL5295" s="19"/>
    </row>
    <row r="5296" spans="1:38" s="11" customFormat="1" x14ac:dyDescent="0.25">
      <c r="A5296" s="3"/>
      <c r="F5296" s="19"/>
      <c r="G5296" s="19"/>
      <c r="N5296" s="19"/>
      <c r="P5296" s="19"/>
      <c r="AL5296" s="19"/>
    </row>
    <row r="5297" spans="1:38" s="11" customFormat="1" x14ac:dyDescent="0.25">
      <c r="A5297" s="3"/>
      <c r="F5297" s="19"/>
      <c r="G5297" s="19"/>
      <c r="N5297" s="19"/>
      <c r="P5297" s="19"/>
      <c r="AL5297" s="19"/>
    </row>
    <row r="5298" spans="1:38" s="11" customFormat="1" x14ac:dyDescent="0.25">
      <c r="A5298" s="3"/>
      <c r="F5298" s="19"/>
      <c r="G5298" s="19"/>
      <c r="N5298" s="19"/>
      <c r="P5298" s="19"/>
      <c r="AL5298" s="19"/>
    </row>
    <row r="5299" spans="1:38" s="11" customFormat="1" x14ac:dyDescent="0.25">
      <c r="A5299" s="3"/>
      <c r="F5299" s="19"/>
      <c r="G5299" s="19"/>
      <c r="N5299" s="19"/>
      <c r="P5299" s="19"/>
      <c r="AL5299" s="19"/>
    </row>
    <row r="5300" spans="1:38" s="11" customFormat="1" x14ac:dyDescent="0.25">
      <c r="A5300" s="3"/>
      <c r="F5300" s="19"/>
      <c r="G5300" s="19"/>
      <c r="N5300" s="19"/>
      <c r="P5300" s="19"/>
      <c r="AL5300" s="19"/>
    </row>
    <row r="5301" spans="1:38" s="11" customFormat="1" x14ac:dyDescent="0.25">
      <c r="A5301" s="3"/>
      <c r="F5301" s="19"/>
      <c r="G5301" s="19"/>
      <c r="N5301" s="19"/>
      <c r="P5301" s="19"/>
      <c r="AL5301" s="19"/>
    </row>
    <row r="5302" spans="1:38" s="11" customFormat="1" x14ac:dyDescent="0.25">
      <c r="A5302" s="3"/>
      <c r="F5302" s="19"/>
      <c r="G5302" s="19"/>
      <c r="N5302" s="19"/>
      <c r="P5302" s="19"/>
      <c r="AL5302" s="19"/>
    </row>
    <row r="5303" spans="1:38" s="11" customFormat="1" x14ac:dyDescent="0.25">
      <c r="A5303" s="3"/>
      <c r="F5303" s="19"/>
      <c r="G5303" s="19"/>
      <c r="N5303" s="19"/>
      <c r="P5303" s="19"/>
      <c r="AL5303" s="19"/>
    </row>
    <row r="5304" spans="1:38" s="11" customFormat="1" x14ac:dyDescent="0.25">
      <c r="A5304" s="3"/>
      <c r="F5304" s="19"/>
      <c r="G5304" s="19"/>
      <c r="N5304" s="19"/>
      <c r="P5304" s="19"/>
      <c r="AL5304" s="19"/>
    </row>
    <row r="5305" spans="1:38" s="11" customFormat="1" x14ac:dyDescent="0.25">
      <c r="A5305" s="3"/>
      <c r="F5305" s="19"/>
      <c r="G5305" s="19"/>
      <c r="N5305" s="19"/>
      <c r="P5305" s="19"/>
      <c r="AL5305" s="19"/>
    </row>
    <row r="5306" spans="1:38" s="11" customFormat="1" x14ac:dyDescent="0.25">
      <c r="A5306" s="3"/>
      <c r="F5306" s="19"/>
      <c r="G5306" s="19"/>
      <c r="N5306" s="19"/>
      <c r="P5306" s="19"/>
      <c r="AL5306" s="19"/>
    </row>
    <row r="5307" spans="1:38" s="11" customFormat="1" x14ac:dyDescent="0.25">
      <c r="A5307" s="3"/>
      <c r="F5307" s="19"/>
      <c r="G5307" s="19"/>
      <c r="N5307" s="19"/>
      <c r="P5307" s="19"/>
      <c r="AL5307" s="19"/>
    </row>
    <row r="5308" spans="1:38" s="11" customFormat="1" x14ac:dyDescent="0.25">
      <c r="A5308" s="3"/>
      <c r="F5308" s="19"/>
      <c r="G5308" s="19"/>
      <c r="N5308" s="19"/>
      <c r="P5308" s="19"/>
      <c r="AL5308" s="19"/>
    </row>
    <row r="5309" spans="1:38" s="11" customFormat="1" x14ac:dyDescent="0.25">
      <c r="A5309" s="3"/>
      <c r="F5309" s="19"/>
      <c r="G5309" s="19"/>
      <c r="N5309" s="19"/>
      <c r="P5309" s="19"/>
      <c r="AL5309" s="19"/>
    </row>
    <row r="5310" spans="1:38" s="11" customFormat="1" x14ac:dyDescent="0.25">
      <c r="A5310" s="3"/>
      <c r="F5310" s="19"/>
      <c r="G5310" s="19"/>
      <c r="N5310" s="19"/>
      <c r="P5310" s="19"/>
      <c r="AL5310" s="19"/>
    </row>
    <row r="5311" spans="1:38" s="11" customFormat="1" x14ac:dyDescent="0.25">
      <c r="A5311" s="3"/>
      <c r="F5311" s="19"/>
      <c r="G5311" s="19"/>
      <c r="N5311" s="19"/>
      <c r="P5311" s="19"/>
      <c r="AL5311" s="19"/>
    </row>
    <row r="5312" spans="1:38" s="11" customFormat="1" x14ac:dyDescent="0.25">
      <c r="A5312" s="3"/>
      <c r="F5312" s="19"/>
      <c r="G5312" s="19"/>
      <c r="N5312" s="19"/>
      <c r="P5312" s="19"/>
      <c r="AL5312" s="19"/>
    </row>
    <row r="5313" spans="1:38" s="11" customFormat="1" x14ac:dyDescent="0.25">
      <c r="A5313" s="3"/>
      <c r="F5313" s="19"/>
      <c r="G5313" s="19"/>
      <c r="N5313" s="19"/>
      <c r="P5313" s="19"/>
      <c r="AL5313" s="19"/>
    </row>
    <row r="5314" spans="1:38" s="11" customFormat="1" x14ac:dyDescent="0.25">
      <c r="A5314" s="3"/>
      <c r="F5314" s="19"/>
      <c r="G5314" s="19"/>
      <c r="N5314" s="19"/>
      <c r="P5314" s="19"/>
      <c r="AL5314" s="19"/>
    </row>
    <row r="5315" spans="1:38" s="11" customFormat="1" x14ac:dyDescent="0.25">
      <c r="A5315" s="3"/>
      <c r="F5315" s="19"/>
      <c r="G5315" s="19"/>
      <c r="N5315" s="19"/>
      <c r="P5315" s="19"/>
      <c r="AL5315" s="19"/>
    </row>
    <row r="5316" spans="1:38" s="11" customFormat="1" x14ac:dyDescent="0.25">
      <c r="A5316" s="3"/>
      <c r="F5316" s="19"/>
      <c r="G5316" s="19"/>
      <c r="N5316" s="19"/>
      <c r="P5316" s="19"/>
      <c r="AL5316" s="19"/>
    </row>
    <row r="5317" spans="1:38" s="11" customFormat="1" x14ac:dyDescent="0.25">
      <c r="A5317" s="3"/>
      <c r="F5317" s="19"/>
      <c r="G5317" s="19"/>
      <c r="N5317" s="19"/>
      <c r="P5317" s="19"/>
      <c r="AL5317" s="19"/>
    </row>
    <row r="5318" spans="1:38" s="11" customFormat="1" x14ac:dyDescent="0.25">
      <c r="A5318" s="3"/>
      <c r="F5318" s="19"/>
      <c r="G5318" s="19"/>
      <c r="N5318" s="19"/>
      <c r="P5318" s="19"/>
      <c r="AL5318" s="19"/>
    </row>
    <row r="5319" spans="1:38" s="11" customFormat="1" x14ac:dyDescent="0.25">
      <c r="A5319" s="3"/>
      <c r="F5319" s="19"/>
      <c r="G5319" s="19"/>
      <c r="N5319" s="19"/>
      <c r="P5319" s="19"/>
      <c r="AL5319" s="19"/>
    </row>
    <row r="5320" spans="1:38" s="11" customFormat="1" x14ac:dyDescent="0.25">
      <c r="A5320" s="3"/>
      <c r="F5320" s="19"/>
      <c r="G5320" s="19"/>
      <c r="N5320" s="19"/>
      <c r="P5320" s="19"/>
      <c r="AL5320" s="19"/>
    </row>
    <row r="5321" spans="1:38" s="11" customFormat="1" x14ac:dyDescent="0.25">
      <c r="A5321" s="3"/>
      <c r="F5321" s="19"/>
      <c r="G5321" s="19"/>
      <c r="N5321" s="19"/>
      <c r="P5321" s="19"/>
      <c r="AL5321" s="19"/>
    </row>
    <row r="5322" spans="1:38" s="11" customFormat="1" x14ac:dyDescent="0.25">
      <c r="A5322" s="3"/>
      <c r="F5322" s="19"/>
      <c r="G5322" s="19"/>
      <c r="N5322" s="19"/>
      <c r="P5322" s="19"/>
      <c r="AL5322" s="19"/>
    </row>
    <row r="5323" spans="1:38" s="11" customFormat="1" x14ac:dyDescent="0.25">
      <c r="A5323" s="3"/>
      <c r="F5323" s="19"/>
      <c r="G5323" s="19"/>
      <c r="N5323" s="19"/>
      <c r="P5323" s="19"/>
      <c r="AL5323" s="19"/>
    </row>
    <row r="5324" spans="1:38" s="11" customFormat="1" x14ac:dyDescent="0.25">
      <c r="A5324" s="3"/>
      <c r="F5324" s="19"/>
      <c r="G5324" s="19"/>
      <c r="N5324" s="19"/>
      <c r="P5324" s="19"/>
      <c r="AL5324" s="19"/>
    </row>
    <row r="5325" spans="1:38" s="11" customFormat="1" x14ac:dyDescent="0.25">
      <c r="A5325" s="3"/>
      <c r="F5325" s="19"/>
      <c r="G5325" s="19"/>
      <c r="N5325" s="19"/>
      <c r="P5325" s="19"/>
      <c r="AL5325" s="19"/>
    </row>
    <row r="5326" spans="1:38" s="11" customFormat="1" x14ac:dyDescent="0.25">
      <c r="A5326" s="3"/>
      <c r="F5326" s="19"/>
      <c r="G5326" s="19"/>
      <c r="N5326" s="19"/>
      <c r="P5326" s="19"/>
      <c r="AL5326" s="19"/>
    </row>
    <row r="5327" spans="1:38" s="11" customFormat="1" x14ac:dyDescent="0.25">
      <c r="A5327" s="3"/>
      <c r="F5327" s="19"/>
      <c r="G5327" s="19"/>
      <c r="N5327" s="19"/>
      <c r="P5327" s="19"/>
      <c r="AL5327" s="19"/>
    </row>
    <row r="5328" spans="1:38" s="11" customFormat="1" x14ac:dyDescent="0.25">
      <c r="A5328" s="3"/>
      <c r="F5328" s="19"/>
      <c r="G5328" s="19"/>
      <c r="N5328" s="19"/>
      <c r="P5328" s="19"/>
      <c r="AL5328" s="19"/>
    </row>
    <row r="5329" spans="1:38" s="11" customFormat="1" x14ac:dyDescent="0.25">
      <c r="A5329" s="3"/>
      <c r="F5329" s="19"/>
      <c r="G5329" s="19"/>
      <c r="N5329" s="19"/>
      <c r="P5329" s="19"/>
      <c r="AL5329" s="19"/>
    </row>
    <row r="5330" spans="1:38" s="11" customFormat="1" x14ac:dyDescent="0.25">
      <c r="A5330" s="3"/>
      <c r="F5330" s="19"/>
      <c r="G5330" s="19"/>
      <c r="N5330" s="19"/>
      <c r="P5330" s="19"/>
      <c r="AL5330" s="19"/>
    </row>
    <row r="5331" spans="1:38" s="11" customFormat="1" x14ac:dyDescent="0.25">
      <c r="A5331" s="3"/>
      <c r="F5331" s="19"/>
      <c r="G5331" s="19"/>
      <c r="N5331" s="19"/>
      <c r="P5331" s="19"/>
      <c r="AL5331" s="19"/>
    </row>
    <row r="5332" spans="1:38" s="11" customFormat="1" x14ac:dyDescent="0.25">
      <c r="A5332" s="3"/>
      <c r="F5332" s="19"/>
      <c r="G5332" s="19"/>
      <c r="N5332" s="19"/>
      <c r="P5332" s="19"/>
      <c r="AL5332" s="19"/>
    </row>
    <row r="5333" spans="1:38" s="11" customFormat="1" x14ac:dyDescent="0.25">
      <c r="A5333" s="3"/>
      <c r="F5333" s="19"/>
      <c r="G5333" s="19"/>
      <c r="N5333" s="19"/>
      <c r="P5333" s="19"/>
      <c r="AL5333" s="19"/>
    </row>
    <row r="5334" spans="1:38" s="11" customFormat="1" x14ac:dyDescent="0.25">
      <c r="A5334" s="3"/>
      <c r="F5334" s="19"/>
      <c r="G5334" s="19"/>
      <c r="N5334" s="19"/>
      <c r="P5334" s="19"/>
      <c r="AL5334" s="19"/>
    </row>
    <row r="5335" spans="1:38" s="11" customFormat="1" x14ac:dyDescent="0.25">
      <c r="A5335" s="3"/>
      <c r="F5335" s="19"/>
      <c r="G5335" s="19"/>
      <c r="N5335" s="19"/>
      <c r="P5335" s="19"/>
      <c r="AL5335" s="19"/>
    </row>
    <row r="5336" spans="1:38" s="11" customFormat="1" x14ac:dyDescent="0.25">
      <c r="A5336" s="3"/>
      <c r="F5336" s="19"/>
      <c r="G5336" s="19"/>
      <c r="N5336" s="19"/>
      <c r="P5336" s="19"/>
      <c r="AL5336" s="19"/>
    </row>
    <row r="5337" spans="1:38" s="11" customFormat="1" x14ac:dyDescent="0.25">
      <c r="A5337" s="3"/>
      <c r="F5337" s="19"/>
      <c r="G5337" s="19"/>
      <c r="N5337" s="19"/>
      <c r="P5337" s="19"/>
      <c r="AL5337" s="19"/>
    </row>
    <row r="5338" spans="1:38" s="11" customFormat="1" x14ac:dyDescent="0.25">
      <c r="A5338" s="3"/>
      <c r="F5338" s="19"/>
      <c r="G5338" s="19"/>
      <c r="N5338" s="19"/>
      <c r="P5338" s="19"/>
      <c r="AL5338" s="19"/>
    </row>
    <row r="5339" spans="1:38" s="11" customFormat="1" x14ac:dyDescent="0.25">
      <c r="A5339" s="3"/>
      <c r="F5339" s="19"/>
      <c r="G5339" s="19"/>
      <c r="N5339" s="19"/>
      <c r="P5339" s="19"/>
      <c r="AL5339" s="19"/>
    </row>
    <row r="5340" spans="1:38" s="11" customFormat="1" x14ac:dyDescent="0.25">
      <c r="A5340" s="3"/>
      <c r="F5340" s="19"/>
      <c r="G5340" s="19"/>
      <c r="N5340" s="19"/>
      <c r="P5340" s="19"/>
      <c r="AL5340" s="19"/>
    </row>
    <row r="5341" spans="1:38" s="11" customFormat="1" x14ac:dyDescent="0.25">
      <c r="A5341" s="3"/>
      <c r="F5341" s="19"/>
      <c r="G5341" s="19"/>
      <c r="N5341" s="19"/>
      <c r="P5341" s="19"/>
      <c r="AL5341" s="19"/>
    </row>
    <row r="5342" spans="1:38" s="11" customFormat="1" x14ac:dyDescent="0.25">
      <c r="A5342" s="3"/>
      <c r="F5342" s="19"/>
      <c r="G5342" s="19"/>
      <c r="N5342" s="19"/>
      <c r="P5342" s="19"/>
      <c r="AL5342" s="19"/>
    </row>
    <row r="5343" spans="1:38" s="11" customFormat="1" x14ac:dyDescent="0.25">
      <c r="A5343" s="3"/>
      <c r="F5343" s="19"/>
      <c r="G5343" s="19"/>
      <c r="N5343" s="19"/>
      <c r="P5343" s="19"/>
      <c r="AL5343" s="19"/>
    </row>
    <row r="5344" spans="1:38" s="11" customFormat="1" x14ac:dyDescent="0.25">
      <c r="A5344" s="3"/>
      <c r="F5344" s="19"/>
      <c r="G5344" s="19"/>
      <c r="N5344" s="19"/>
      <c r="P5344" s="19"/>
      <c r="AL5344" s="19"/>
    </row>
    <row r="5345" spans="1:38" s="11" customFormat="1" x14ac:dyDescent="0.25">
      <c r="A5345" s="3"/>
      <c r="F5345" s="19"/>
      <c r="G5345" s="19"/>
      <c r="N5345" s="19"/>
      <c r="P5345" s="19"/>
      <c r="AL5345" s="19"/>
    </row>
    <row r="5346" spans="1:38" s="11" customFormat="1" x14ac:dyDescent="0.25">
      <c r="A5346" s="3"/>
      <c r="F5346" s="19"/>
      <c r="G5346" s="19"/>
      <c r="N5346" s="19"/>
      <c r="P5346" s="19"/>
      <c r="AL5346" s="19"/>
    </row>
    <row r="5347" spans="1:38" s="11" customFormat="1" x14ac:dyDescent="0.25">
      <c r="A5347" s="3"/>
      <c r="F5347" s="19"/>
      <c r="G5347" s="19"/>
      <c r="N5347" s="19"/>
      <c r="P5347" s="19"/>
      <c r="AL5347" s="19"/>
    </row>
    <row r="5348" spans="1:38" s="11" customFormat="1" x14ac:dyDescent="0.25">
      <c r="A5348" s="3"/>
      <c r="F5348" s="19"/>
      <c r="G5348" s="19"/>
      <c r="N5348" s="19"/>
      <c r="P5348" s="19"/>
      <c r="AL5348" s="19"/>
    </row>
    <row r="5349" spans="1:38" s="11" customFormat="1" x14ac:dyDescent="0.25">
      <c r="A5349" s="3"/>
      <c r="F5349" s="19"/>
      <c r="G5349" s="19"/>
      <c r="N5349" s="19"/>
      <c r="P5349" s="19"/>
      <c r="AL5349" s="19"/>
    </row>
    <row r="5350" spans="1:38" s="11" customFormat="1" x14ac:dyDescent="0.25">
      <c r="A5350" s="3"/>
      <c r="F5350" s="19"/>
      <c r="G5350" s="19"/>
      <c r="N5350" s="19"/>
      <c r="P5350" s="19"/>
      <c r="AL5350" s="19"/>
    </row>
    <row r="5351" spans="1:38" s="11" customFormat="1" x14ac:dyDescent="0.25">
      <c r="A5351" s="3"/>
      <c r="F5351" s="19"/>
      <c r="G5351" s="19"/>
      <c r="N5351" s="19"/>
      <c r="P5351" s="19"/>
      <c r="AL5351" s="19"/>
    </row>
    <row r="5352" spans="1:38" s="11" customFormat="1" x14ac:dyDescent="0.25">
      <c r="A5352" s="3"/>
      <c r="F5352" s="19"/>
      <c r="G5352" s="19"/>
      <c r="N5352" s="19"/>
      <c r="P5352" s="19"/>
      <c r="AL5352" s="19"/>
    </row>
    <row r="5353" spans="1:38" s="11" customFormat="1" x14ac:dyDescent="0.25">
      <c r="A5353" s="3"/>
      <c r="F5353" s="19"/>
      <c r="G5353" s="19"/>
      <c r="N5353" s="19"/>
      <c r="P5353" s="19"/>
      <c r="AL5353" s="19"/>
    </row>
    <row r="5354" spans="1:38" s="11" customFormat="1" x14ac:dyDescent="0.25">
      <c r="A5354" s="3"/>
      <c r="F5354" s="19"/>
      <c r="G5354" s="19"/>
      <c r="N5354" s="19"/>
      <c r="P5354" s="19"/>
      <c r="AL5354" s="19"/>
    </row>
    <row r="5355" spans="1:38" s="11" customFormat="1" x14ac:dyDescent="0.25">
      <c r="A5355" s="3"/>
      <c r="F5355" s="19"/>
      <c r="G5355" s="19"/>
      <c r="N5355" s="19"/>
      <c r="P5355" s="19"/>
      <c r="AL5355" s="19"/>
    </row>
    <row r="5356" spans="1:38" s="11" customFormat="1" x14ac:dyDescent="0.25">
      <c r="A5356" s="3"/>
      <c r="F5356" s="19"/>
      <c r="G5356" s="19"/>
      <c r="N5356" s="19"/>
      <c r="P5356" s="19"/>
      <c r="AL5356" s="19"/>
    </row>
    <row r="5357" spans="1:38" s="11" customFormat="1" x14ac:dyDescent="0.25">
      <c r="A5357" s="3"/>
      <c r="F5357" s="19"/>
      <c r="G5357" s="19"/>
      <c r="N5357" s="19"/>
      <c r="P5357" s="19"/>
      <c r="AL5357" s="19"/>
    </row>
    <row r="5358" spans="1:38" s="11" customFormat="1" x14ac:dyDescent="0.25">
      <c r="A5358" s="3"/>
      <c r="F5358" s="19"/>
      <c r="G5358" s="19"/>
      <c r="N5358" s="19"/>
      <c r="P5358" s="19"/>
      <c r="AL5358" s="19"/>
    </row>
    <row r="5359" spans="1:38" s="11" customFormat="1" x14ac:dyDescent="0.25">
      <c r="A5359" s="3"/>
      <c r="F5359" s="19"/>
      <c r="G5359" s="19"/>
      <c r="N5359" s="19"/>
      <c r="P5359" s="19"/>
      <c r="AL5359" s="19"/>
    </row>
    <row r="5360" spans="1:38" s="11" customFormat="1" x14ac:dyDescent="0.25">
      <c r="A5360" s="3"/>
      <c r="F5360" s="19"/>
      <c r="G5360" s="19"/>
      <c r="N5360" s="19"/>
      <c r="P5360" s="19"/>
      <c r="AL5360" s="19"/>
    </row>
    <row r="5361" spans="1:38" s="11" customFormat="1" x14ac:dyDescent="0.25">
      <c r="A5361" s="3"/>
      <c r="F5361" s="19"/>
      <c r="G5361" s="19"/>
      <c r="N5361" s="19"/>
      <c r="P5361" s="19"/>
      <c r="AL5361" s="19"/>
    </row>
    <row r="5362" spans="1:38" s="11" customFormat="1" x14ac:dyDescent="0.25">
      <c r="A5362" s="3"/>
      <c r="F5362" s="19"/>
      <c r="G5362" s="19"/>
      <c r="N5362" s="19"/>
      <c r="P5362" s="19"/>
      <c r="AL5362" s="19"/>
    </row>
    <row r="5363" spans="1:38" s="11" customFormat="1" x14ac:dyDescent="0.25">
      <c r="A5363" s="3"/>
      <c r="F5363" s="19"/>
      <c r="G5363" s="19"/>
      <c r="N5363" s="19"/>
      <c r="P5363" s="19"/>
      <c r="AL5363" s="19"/>
    </row>
    <row r="5364" spans="1:38" s="11" customFormat="1" x14ac:dyDescent="0.25">
      <c r="A5364" s="3"/>
      <c r="F5364" s="19"/>
      <c r="G5364" s="19"/>
      <c r="N5364" s="19"/>
      <c r="P5364" s="19"/>
      <c r="AL5364" s="19"/>
    </row>
    <row r="5365" spans="1:38" s="11" customFormat="1" x14ac:dyDescent="0.25">
      <c r="A5365" s="3"/>
      <c r="F5365" s="19"/>
      <c r="G5365" s="19"/>
      <c r="N5365" s="19"/>
      <c r="P5365" s="19"/>
      <c r="AL5365" s="19"/>
    </row>
    <row r="5366" spans="1:38" s="11" customFormat="1" x14ac:dyDescent="0.25">
      <c r="A5366" s="3"/>
      <c r="F5366" s="19"/>
      <c r="G5366" s="19"/>
      <c r="N5366" s="19"/>
      <c r="P5366" s="19"/>
      <c r="AL5366" s="19"/>
    </row>
    <row r="5367" spans="1:38" s="11" customFormat="1" x14ac:dyDescent="0.25">
      <c r="A5367" s="3"/>
      <c r="F5367" s="19"/>
      <c r="G5367" s="19"/>
      <c r="N5367" s="19"/>
      <c r="P5367" s="19"/>
      <c r="AL5367" s="19"/>
    </row>
    <row r="5368" spans="1:38" s="11" customFormat="1" x14ac:dyDescent="0.25">
      <c r="A5368" s="3"/>
      <c r="F5368" s="19"/>
      <c r="G5368" s="19"/>
      <c r="N5368" s="19"/>
      <c r="P5368" s="19"/>
      <c r="AL5368" s="19"/>
    </row>
    <row r="5369" spans="1:38" s="11" customFormat="1" x14ac:dyDescent="0.25">
      <c r="A5369" s="3"/>
      <c r="F5369" s="19"/>
      <c r="G5369" s="19"/>
      <c r="N5369" s="19"/>
      <c r="P5369" s="19"/>
      <c r="AL5369" s="19"/>
    </row>
    <row r="5370" spans="1:38" s="11" customFormat="1" x14ac:dyDescent="0.25">
      <c r="A5370" s="3"/>
      <c r="F5370" s="19"/>
      <c r="G5370" s="19"/>
      <c r="N5370" s="19"/>
      <c r="P5370" s="19"/>
      <c r="AL5370" s="19"/>
    </row>
    <row r="5371" spans="1:38" s="11" customFormat="1" x14ac:dyDescent="0.25">
      <c r="A5371" s="3"/>
      <c r="F5371" s="19"/>
      <c r="G5371" s="19"/>
      <c r="N5371" s="19"/>
      <c r="P5371" s="19"/>
      <c r="AL5371" s="19"/>
    </row>
    <row r="5372" spans="1:38" s="11" customFormat="1" x14ac:dyDescent="0.25">
      <c r="A5372" s="3"/>
      <c r="F5372" s="19"/>
      <c r="G5372" s="19"/>
      <c r="N5372" s="19"/>
      <c r="P5372" s="19"/>
      <c r="AL5372" s="19"/>
    </row>
    <row r="5373" spans="1:38" s="11" customFormat="1" x14ac:dyDescent="0.25">
      <c r="A5373" s="3"/>
      <c r="F5373" s="19"/>
      <c r="G5373" s="19"/>
      <c r="N5373" s="19"/>
      <c r="P5373" s="19"/>
      <c r="AL5373" s="19"/>
    </row>
    <row r="5374" spans="1:38" s="11" customFormat="1" x14ac:dyDescent="0.25">
      <c r="A5374" s="3"/>
      <c r="F5374" s="19"/>
      <c r="G5374" s="19"/>
      <c r="N5374" s="19"/>
      <c r="P5374" s="19"/>
      <c r="AL5374" s="19"/>
    </row>
    <row r="5375" spans="1:38" s="11" customFormat="1" x14ac:dyDescent="0.25">
      <c r="A5375" s="3"/>
      <c r="F5375" s="19"/>
      <c r="G5375" s="19"/>
      <c r="N5375" s="19"/>
      <c r="P5375" s="19"/>
      <c r="AL5375" s="19"/>
    </row>
    <row r="5376" spans="1:38" s="11" customFormat="1" x14ac:dyDescent="0.25">
      <c r="A5376" s="3"/>
      <c r="F5376" s="19"/>
      <c r="G5376" s="19"/>
      <c r="N5376" s="19"/>
      <c r="P5376" s="19"/>
      <c r="AL5376" s="19"/>
    </row>
    <row r="5377" spans="1:38" s="11" customFormat="1" x14ac:dyDescent="0.25">
      <c r="A5377" s="3"/>
      <c r="F5377" s="19"/>
      <c r="G5377" s="19"/>
      <c r="N5377" s="19"/>
      <c r="P5377" s="19"/>
      <c r="AL5377" s="19"/>
    </row>
    <row r="5378" spans="1:38" s="11" customFormat="1" x14ac:dyDescent="0.25">
      <c r="A5378" s="3"/>
      <c r="F5378" s="19"/>
      <c r="G5378" s="19"/>
      <c r="N5378" s="19"/>
      <c r="P5378" s="19"/>
      <c r="AL5378" s="19"/>
    </row>
    <row r="5379" spans="1:38" s="11" customFormat="1" x14ac:dyDescent="0.25">
      <c r="A5379" s="3"/>
      <c r="F5379" s="19"/>
      <c r="G5379" s="19"/>
      <c r="N5379" s="19"/>
      <c r="P5379" s="19"/>
      <c r="AL5379" s="19"/>
    </row>
    <row r="5380" spans="1:38" s="11" customFormat="1" x14ac:dyDescent="0.25">
      <c r="A5380" s="3"/>
      <c r="F5380" s="19"/>
      <c r="G5380" s="19"/>
      <c r="N5380" s="19"/>
      <c r="P5380" s="19"/>
      <c r="AL5380" s="19"/>
    </row>
    <row r="5381" spans="1:38" s="11" customFormat="1" x14ac:dyDescent="0.25">
      <c r="A5381" s="3"/>
      <c r="F5381" s="19"/>
      <c r="G5381" s="19"/>
      <c r="N5381" s="19"/>
      <c r="P5381" s="19"/>
      <c r="AL5381" s="19"/>
    </row>
    <row r="5382" spans="1:38" s="11" customFormat="1" x14ac:dyDescent="0.25">
      <c r="A5382" s="3"/>
      <c r="F5382" s="19"/>
      <c r="G5382" s="19"/>
      <c r="N5382" s="19"/>
      <c r="P5382" s="19"/>
      <c r="AL5382" s="19"/>
    </row>
    <row r="5383" spans="1:38" s="11" customFormat="1" x14ac:dyDescent="0.25">
      <c r="A5383" s="3"/>
      <c r="F5383" s="19"/>
      <c r="G5383" s="19"/>
      <c r="N5383" s="19"/>
      <c r="P5383" s="19"/>
      <c r="AL5383" s="19"/>
    </row>
    <row r="5384" spans="1:38" s="11" customFormat="1" x14ac:dyDescent="0.25">
      <c r="A5384" s="3"/>
      <c r="F5384" s="19"/>
      <c r="G5384" s="19"/>
      <c r="N5384" s="19"/>
      <c r="P5384" s="19"/>
      <c r="AL5384" s="19"/>
    </row>
    <row r="5385" spans="1:38" s="11" customFormat="1" x14ac:dyDescent="0.25">
      <c r="A5385" s="3"/>
      <c r="F5385" s="19"/>
      <c r="G5385" s="19"/>
      <c r="N5385" s="19"/>
      <c r="P5385" s="19"/>
      <c r="AL5385" s="19"/>
    </row>
    <row r="5386" spans="1:38" s="11" customFormat="1" x14ac:dyDescent="0.25">
      <c r="A5386" s="3"/>
      <c r="F5386" s="19"/>
      <c r="G5386" s="19"/>
      <c r="N5386" s="19"/>
      <c r="P5386" s="19"/>
      <c r="AL5386" s="19"/>
    </row>
    <row r="5387" spans="1:38" s="11" customFormat="1" x14ac:dyDescent="0.25">
      <c r="A5387" s="3"/>
      <c r="F5387" s="19"/>
      <c r="G5387" s="19"/>
      <c r="N5387" s="19"/>
      <c r="P5387" s="19"/>
      <c r="AL5387" s="19"/>
    </row>
    <row r="5388" spans="1:38" s="11" customFormat="1" x14ac:dyDescent="0.25">
      <c r="A5388" s="3"/>
      <c r="F5388" s="19"/>
      <c r="G5388" s="19"/>
      <c r="N5388" s="19"/>
      <c r="P5388" s="19"/>
      <c r="AL5388" s="19"/>
    </row>
    <row r="5389" spans="1:38" s="11" customFormat="1" x14ac:dyDescent="0.25">
      <c r="A5389" s="3"/>
      <c r="F5389" s="19"/>
      <c r="G5389" s="19"/>
      <c r="N5389" s="19"/>
      <c r="P5389" s="19"/>
      <c r="AL5389" s="19"/>
    </row>
    <row r="5390" spans="1:38" s="11" customFormat="1" x14ac:dyDescent="0.25">
      <c r="A5390" s="3"/>
      <c r="F5390" s="19"/>
      <c r="G5390" s="19"/>
      <c r="N5390" s="19"/>
      <c r="P5390" s="19"/>
      <c r="AL5390" s="19"/>
    </row>
    <row r="5391" spans="1:38" s="11" customFormat="1" x14ac:dyDescent="0.25">
      <c r="A5391" s="3"/>
      <c r="F5391" s="19"/>
      <c r="G5391" s="19"/>
      <c r="N5391" s="19"/>
      <c r="P5391" s="19"/>
      <c r="AL5391" s="19"/>
    </row>
    <row r="5392" spans="1:38" s="11" customFormat="1" x14ac:dyDescent="0.25">
      <c r="A5392" s="3"/>
      <c r="F5392" s="19"/>
      <c r="G5392" s="19"/>
      <c r="N5392" s="19"/>
      <c r="P5392" s="19"/>
      <c r="AL5392" s="19"/>
    </row>
    <row r="5393" spans="1:38" s="11" customFormat="1" x14ac:dyDescent="0.25">
      <c r="A5393" s="3"/>
      <c r="F5393" s="19"/>
      <c r="G5393" s="19"/>
      <c r="N5393" s="19"/>
      <c r="P5393" s="19"/>
      <c r="AL5393" s="19"/>
    </row>
    <row r="5394" spans="1:38" s="11" customFormat="1" x14ac:dyDescent="0.25">
      <c r="A5394" s="3"/>
      <c r="F5394" s="19"/>
      <c r="G5394" s="19"/>
      <c r="N5394" s="19"/>
      <c r="P5394" s="19"/>
      <c r="AL5394" s="19"/>
    </row>
    <row r="5395" spans="1:38" s="11" customFormat="1" x14ac:dyDescent="0.25">
      <c r="A5395" s="3"/>
      <c r="F5395" s="19"/>
      <c r="G5395" s="19"/>
      <c r="N5395" s="19"/>
      <c r="P5395" s="19"/>
      <c r="AL5395" s="19"/>
    </row>
    <row r="5396" spans="1:38" s="11" customFormat="1" x14ac:dyDescent="0.25">
      <c r="A5396" s="3"/>
      <c r="F5396" s="19"/>
      <c r="G5396" s="19"/>
      <c r="N5396" s="19"/>
      <c r="P5396" s="19"/>
      <c r="AL5396" s="19"/>
    </row>
    <row r="5397" spans="1:38" s="11" customFormat="1" x14ac:dyDescent="0.25">
      <c r="A5397" s="3"/>
      <c r="F5397" s="19"/>
      <c r="G5397" s="19"/>
      <c r="N5397" s="19"/>
      <c r="P5397" s="19"/>
      <c r="AL5397" s="19"/>
    </row>
    <row r="5398" spans="1:38" s="11" customFormat="1" x14ac:dyDescent="0.25">
      <c r="A5398" s="3"/>
      <c r="F5398" s="19"/>
      <c r="G5398" s="19"/>
      <c r="N5398" s="19"/>
      <c r="P5398" s="19"/>
      <c r="AL5398" s="19"/>
    </row>
    <row r="5399" spans="1:38" s="11" customFormat="1" x14ac:dyDescent="0.25">
      <c r="A5399" s="3"/>
      <c r="F5399" s="19"/>
      <c r="G5399" s="19"/>
      <c r="N5399" s="19"/>
      <c r="P5399" s="19"/>
      <c r="AL5399" s="19"/>
    </row>
    <row r="5400" spans="1:38" s="11" customFormat="1" x14ac:dyDescent="0.25">
      <c r="A5400" s="3"/>
      <c r="F5400" s="19"/>
      <c r="G5400" s="19"/>
      <c r="N5400" s="19"/>
      <c r="P5400" s="19"/>
      <c r="AL5400" s="19"/>
    </row>
    <row r="5401" spans="1:38" s="11" customFormat="1" x14ac:dyDescent="0.25">
      <c r="A5401" s="3"/>
      <c r="F5401" s="19"/>
      <c r="G5401" s="19"/>
      <c r="N5401" s="19"/>
      <c r="P5401" s="19"/>
      <c r="AL5401" s="19"/>
    </row>
    <row r="5402" spans="1:38" s="11" customFormat="1" x14ac:dyDescent="0.25">
      <c r="A5402" s="3"/>
      <c r="F5402" s="19"/>
      <c r="G5402" s="19"/>
      <c r="N5402" s="19"/>
      <c r="P5402" s="19"/>
      <c r="AL5402" s="19"/>
    </row>
    <row r="5403" spans="1:38" s="11" customFormat="1" x14ac:dyDescent="0.25">
      <c r="A5403" s="3"/>
      <c r="F5403" s="19"/>
      <c r="G5403" s="19"/>
      <c r="N5403" s="19"/>
      <c r="P5403" s="19"/>
      <c r="AL5403" s="19"/>
    </row>
    <row r="5404" spans="1:38" s="11" customFormat="1" x14ac:dyDescent="0.25">
      <c r="A5404" s="3"/>
      <c r="F5404" s="19"/>
      <c r="G5404" s="19"/>
      <c r="N5404" s="19"/>
      <c r="P5404" s="19"/>
      <c r="AL5404" s="19"/>
    </row>
    <row r="5405" spans="1:38" s="11" customFormat="1" x14ac:dyDescent="0.25">
      <c r="A5405" s="3"/>
      <c r="F5405" s="19"/>
      <c r="G5405" s="19"/>
      <c r="N5405" s="19"/>
      <c r="P5405" s="19"/>
      <c r="AL5405" s="19"/>
    </row>
    <row r="5406" spans="1:38" s="11" customFormat="1" x14ac:dyDescent="0.25">
      <c r="A5406" s="3"/>
      <c r="F5406" s="19"/>
      <c r="G5406" s="19"/>
      <c r="N5406" s="19"/>
      <c r="P5406" s="19"/>
      <c r="AL5406" s="19"/>
    </row>
    <row r="5407" spans="1:38" s="11" customFormat="1" x14ac:dyDescent="0.25">
      <c r="A5407" s="3"/>
      <c r="F5407" s="19"/>
      <c r="G5407" s="19"/>
      <c r="N5407" s="19"/>
      <c r="P5407" s="19"/>
      <c r="AL5407" s="19"/>
    </row>
    <row r="5408" spans="1:38" s="11" customFormat="1" x14ac:dyDescent="0.25">
      <c r="A5408" s="3"/>
      <c r="F5408" s="19"/>
      <c r="G5408" s="19"/>
      <c r="N5408" s="19"/>
      <c r="P5408" s="19"/>
      <c r="AL5408" s="19"/>
    </row>
    <row r="5409" spans="1:38" s="11" customFormat="1" x14ac:dyDescent="0.25">
      <c r="A5409" s="3"/>
      <c r="F5409" s="19"/>
      <c r="G5409" s="19"/>
      <c r="N5409" s="19"/>
      <c r="P5409" s="19"/>
      <c r="AL5409" s="19"/>
    </row>
    <row r="5410" spans="1:38" s="11" customFormat="1" x14ac:dyDescent="0.25">
      <c r="A5410" s="3"/>
      <c r="F5410" s="19"/>
      <c r="G5410" s="19"/>
      <c r="N5410" s="19"/>
      <c r="P5410" s="19"/>
      <c r="AL5410" s="19"/>
    </row>
    <row r="5411" spans="1:38" s="11" customFormat="1" x14ac:dyDescent="0.25">
      <c r="A5411" s="3"/>
      <c r="F5411" s="19"/>
      <c r="G5411" s="19"/>
      <c r="N5411" s="19"/>
      <c r="P5411" s="19"/>
      <c r="AL5411" s="19"/>
    </row>
    <row r="5412" spans="1:38" s="11" customFormat="1" x14ac:dyDescent="0.25">
      <c r="A5412" s="3"/>
      <c r="F5412" s="19"/>
      <c r="G5412" s="19"/>
      <c r="N5412" s="19"/>
      <c r="P5412" s="19"/>
      <c r="AL5412" s="19"/>
    </row>
    <row r="5413" spans="1:38" s="11" customFormat="1" x14ac:dyDescent="0.25">
      <c r="A5413" s="3"/>
      <c r="F5413" s="19"/>
      <c r="G5413" s="19"/>
      <c r="N5413" s="19"/>
      <c r="P5413" s="19"/>
      <c r="AL5413" s="19"/>
    </row>
    <row r="5414" spans="1:38" s="11" customFormat="1" x14ac:dyDescent="0.25">
      <c r="A5414" s="3"/>
      <c r="F5414" s="19"/>
      <c r="G5414" s="19"/>
      <c r="N5414" s="19"/>
      <c r="P5414" s="19"/>
      <c r="AL5414" s="19"/>
    </row>
    <row r="5415" spans="1:38" s="11" customFormat="1" x14ac:dyDescent="0.25">
      <c r="A5415" s="3"/>
      <c r="F5415" s="19"/>
      <c r="G5415" s="19"/>
      <c r="N5415" s="19"/>
      <c r="P5415" s="19"/>
      <c r="AL5415" s="19"/>
    </row>
    <row r="5416" spans="1:38" s="11" customFormat="1" x14ac:dyDescent="0.25">
      <c r="A5416" s="3"/>
      <c r="F5416" s="19"/>
      <c r="G5416" s="19"/>
      <c r="N5416" s="19"/>
      <c r="P5416" s="19"/>
      <c r="AL5416" s="19"/>
    </row>
    <row r="5417" spans="1:38" s="11" customFormat="1" x14ac:dyDescent="0.25">
      <c r="A5417" s="3"/>
      <c r="F5417" s="19"/>
      <c r="G5417" s="19"/>
      <c r="N5417" s="19"/>
      <c r="P5417" s="19"/>
      <c r="AL5417" s="19"/>
    </row>
    <row r="5418" spans="1:38" s="11" customFormat="1" x14ac:dyDescent="0.25">
      <c r="A5418" s="3"/>
      <c r="F5418" s="19"/>
      <c r="G5418" s="19"/>
      <c r="N5418" s="19"/>
      <c r="P5418" s="19"/>
      <c r="AL5418" s="19"/>
    </row>
    <row r="5419" spans="1:38" s="11" customFormat="1" x14ac:dyDescent="0.25">
      <c r="A5419" s="3"/>
      <c r="F5419" s="19"/>
      <c r="G5419" s="19"/>
      <c r="N5419" s="19"/>
      <c r="P5419" s="19"/>
      <c r="AL5419" s="19"/>
    </row>
    <row r="5420" spans="1:38" s="11" customFormat="1" x14ac:dyDescent="0.25">
      <c r="A5420" s="3"/>
      <c r="F5420" s="19"/>
      <c r="G5420" s="19"/>
      <c r="N5420" s="19"/>
      <c r="P5420" s="19"/>
      <c r="AL5420" s="19"/>
    </row>
    <row r="5421" spans="1:38" s="11" customFormat="1" x14ac:dyDescent="0.25">
      <c r="A5421" s="3"/>
      <c r="F5421" s="19"/>
      <c r="G5421" s="19"/>
      <c r="N5421" s="19"/>
      <c r="P5421" s="19"/>
      <c r="AL5421" s="19"/>
    </row>
    <row r="5422" spans="1:38" s="11" customFormat="1" x14ac:dyDescent="0.25">
      <c r="A5422" s="3"/>
      <c r="F5422" s="19"/>
      <c r="G5422" s="19"/>
      <c r="N5422" s="19"/>
      <c r="P5422" s="19"/>
      <c r="AL5422" s="19"/>
    </row>
    <row r="5423" spans="1:38" s="11" customFormat="1" x14ac:dyDescent="0.25">
      <c r="A5423" s="3"/>
      <c r="F5423" s="19"/>
      <c r="G5423" s="19"/>
      <c r="N5423" s="19"/>
      <c r="P5423" s="19"/>
      <c r="AL5423" s="19"/>
    </row>
    <row r="5424" spans="1:38" s="11" customFormat="1" x14ac:dyDescent="0.25">
      <c r="A5424" s="3"/>
      <c r="F5424" s="19"/>
      <c r="G5424" s="19"/>
      <c r="N5424" s="19"/>
      <c r="P5424" s="19"/>
      <c r="AL5424" s="19"/>
    </row>
    <row r="5425" spans="1:38" s="11" customFormat="1" x14ac:dyDescent="0.25">
      <c r="A5425" s="3"/>
      <c r="F5425" s="19"/>
      <c r="G5425" s="19"/>
      <c r="N5425" s="19"/>
      <c r="P5425" s="19"/>
      <c r="AL5425" s="19"/>
    </row>
    <row r="5426" spans="1:38" s="11" customFormat="1" x14ac:dyDescent="0.25">
      <c r="A5426" s="3"/>
      <c r="F5426" s="19"/>
      <c r="G5426" s="19"/>
      <c r="N5426" s="19"/>
      <c r="P5426" s="19"/>
      <c r="AL5426" s="19"/>
    </row>
    <row r="5427" spans="1:38" s="11" customFormat="1" x14ac:dyDescent="0.25">
      <c r="A5427" s="3"/>
      <c r="F5427" s="19"/>
      <c r="G5427" s="19"/>
      <c r="N5427" s="19"/>
      <c r="P5427" s="19"/>
      <c r="AL5427" s="19"/>
    </row>
    <row r="5428" spans="1:38" s="11" customFormat="1" x14ac:dyDescent="0.25">
      <c r="A5428" s="3"/>
      <c r="F5428" s="19"/>
      <c r="G5428" s="19"/>
      <c r="N5428" s="19"/>
      <c r="P5428" s="19"/>
      <c r="AL5428" s="19"/>
    </row>
    <row r="5429" spans="1:38" s="11" customFormat="1" x14ac:dyDescent="0.25">
      <c r="A5429" s="3"/>
      <c r="F5429" s="19"/>
      <c r="G5429" s="19"/>
      <c r="N5429" s="19"/>
      <c r="P5429" s="19"/>
      <c r="AL5429" s="19"/>
    </row>
    <row r="5430" spans="1:38" s="11" customFormat="1" x14ac:dyDescent="0.25">
      <c r="A5430" s="3"/>
      <c r="F5430" s="19"/>
      <c r="G5430" s="19"/>
      <c r="N5430" s="19"/>
      <c r="P5430" s="19"/>
      <c r="AL5430" s="19"/>
    </row>
    <row r="5431" spans="1:38" s="11" customFormat="1" x14ac:dyDescent="0.25">
      <c r="A5431" s="3"/>
      <c r="F5431" s="19"/>
      <c r="G5431" s="19"/>
      <c r="N5431" s="19"/>
      <c r="P5431" s="19"/>
      <c r="AL5431" s="19"/>
    </row>
    <row r="5432" spans="1:38" s="11" customFormat="1" x14ac:dyDescent="0.25">
      <c r="A5432" s="3"/>
      <c r="F5432" s="19"/>
      <c r="G5432" s="19"/>
      <c r="N5432" s="19"/>
      <c r="P5432" s="19"/>
      <c r="AL5432" s="19"/>
    </row>
    <row r="5433" spans="1:38" s="11" customFormat="1" x14ac:dyDescent="0.25">
      <c r="A5433" s="3"/>
      <c r="F5433" s="19"/>
      <c r="G5433" s="19"/>
      <c r="N5433" s="19"/>
      <c r="P5433" s="19"/>
      <c r="AL5433" s="19"/>
    </row>
    <row r="5434" spans="1:38" s="11" customFormat="1" x14ac:dyDescent="0.25">
      <c r="A5434" s="3"/>
      <c r="F5434" s="19"/>
      <c r="G5434" s="19"/>
      <c r="N5434" s="19"/>
      <c r="P5434" s="19"/>
      <c r="AL5434" s="19"/>
    </row>
    <row r="5435" spans="1:38" s="11" customFormat="1" x14ac:dyDescent="0.25">
      <c r="A5435" s="3"/>
      <c r="F5435" s="19"/>
      <c r="G5435" s="19"/>
      <c r="N5435" s="19"/>
      <c r="P5435" s="19"/>
      <c r="AL5435" s="19"/>
    </row>
    <row r="5436" spans="1:38" s="11" customFormat="1" x14ac:dyDescent="0.25">
      <c r="A5436" s="3"/>
      <c r="F5436" s="19"/>
      <c r="G5436" s="19"/>
      <c r="N5436" s="19"/>
      <c r="P5436" s="19"/>
      <c r="AL5436" s="19"/>
    </row>
    <row r="5437" spans="1:38" s="11" customFormat="1" x14ac:dyDescent="0.25">
      <c r="A5437" s="3"/>
      <c r="F5437" s="19"/>
      <c r="G5437" s="19"/>
      <c r="N5437" s="19"/>
      <c r="P5437" s="19"/>
      <c r="AL5437" s="19"/>
    </row>
    <row r="5438" spans="1:38" s="11" customFormat="1" x14ac:dyDescent="0.25">
      <c r="A5438" s="3"/>
      <c r="F5438" s="19"/>
      <c r="G5438" s="19"/>
      <c r="N5438" s="19"/>
      <c r="P5438" s="19"/>
      <c r="AL5438" s="19"/>
    </row>
    <row r="5439" spans="1:38" s="11" customFormat="1" x14ac:dyDescent="0.25">
      <c r="A5439" s="3"/>
      <c r="F5439" s="19"/>
      <c r="G5439" s="19"/>
      <c r="N5439" s="19"/>
      <c r="P5439" s="19"/>
      <c r="AL5439" s="19"/>
    </row>
    <row r="5440" spans="1:38" s="11" customFormat="1" x14ac:dyDescent="0.25">
      <c r="A5440" s="3"/>
      <c r="F5440" s="19"/>
      <c r="G5440" s="19"/>
      <c r="N5440" s="19"/>
      <c r="P5440" s="19"/>
      <c r="AL5440" s="19"/>
    </row>
    <row r="5441" spans="1:38" s="11" customFormat="1" x14ac:dyDescent="0.25">
      <c r="A5441" s="3"/>
      <c r="F5441" s="19"/>
      <c r="G5441" s="19"/>
      <c r="N5441" s="19"/>
      <c r="P5441" s="19"/>
      <c r="AL5441" s="19"/>
    </row>
    <row r="5442" spans="1:38" s="11" customFormat="1" x14ac:dyDescent="0.25">
      <c r="A5442" s="3"/>
      <c r="F5442" s="19"/>
      <c r="G5442" s="19"/>
      <c r="N5442" s="19"/>
      <c r="P5442" s="19"/>
      <c r="AL5442" s="19"/>
    </row>
    <row r="5443" spans="1:38" s="11" customFormat="1" x14ac:dyDescent="0.25">
      <c r="A5443" s="3"/>
      <c r="F5443" s="19"/>
      <c r="G5443" s="19"/>
      <c r="N5443" s="19"/>
      <c r="P5443" s="19"/>
      <c r="AL5443" s="19"/>
    </row>
    <row r="5444" spans="1:38" s="11" customFormat="1" x14ac:dyDescent="0.25">
      <c r="A5444" s="3"/>
      <c r="F5444" s="19"/>
      <c r="G5444" s="19"/>
      <c r="N5444" s="19"/>
      <c r="P5444" s="19"/>
      <c r="AL5444" s="19"/>
    </row>
    <row r="5445" spans="1:38" s="11" customFormat="1" x14ac:dyDescent="0.25">
      <c r="A5445" s="3"/>
      <c r="F5445" s="19"/>
      <c r="G5445" s="19"/>
      <c r="N5445" s="19"/>
      <c r="P5445" s="19"/>
      <c r="AL5445" s="19"/>
    </row>
    <row r="5446" spans="1:38" s="11" customFormat="1" x14ac:dyDescent="0.25">
      <c r="A5446" s="3"/>
      <c r="F5446" s="19"/>
      <c r="G5446" s="19"/>
      <c r="N5446" s="19"/>
      <c r="P5446" s="19"/>
      <c r="AL5446" s="19"/>
    </row>
    <row r="5447" spans="1:38" s="11" customFormat="1" x14ac:dyDescent="0.25">
      <c r="A5447" s="3"/>
      <c r="F5447" s="19"/>
      <c r="G5447" s="19"/>
      <c r="N5447" s="19"/>
      <c r="P5447" s="19"/>
      <c r="AL5447" s="19"/>
    </row>
    <row r="5448" spans="1:38" s="11" customFormat="1" x14ac:dyDescent="0.25">
      <c r="A5448" s="3"/>
      <c r="F5448" s="19"/>
      <c r="G5448" s="19"/>
      <c r="N5448" s="19"/>
      <c r="P5448" s="19"/>
      <c r="AL5448" s="19"/>
    </row>
    <row r="5449" spans="1:38" s="11" customFormat="1" x14ac:dyDescent="0.25">
      <c r="A5449" s="3"/>
      <c r="F5449" s="19"/>
      <c r="G5449" s="19"/>
      <c r="N5449" s="19"/>
      <c r="P5449" s="19"/>
      <c r="AL5449" s="19"/>
    </row>
    <row r="5450" spans="1:38" s="11" customFormat="1" x14ac:dyDescent="0.25">
      <c r="A5450" s="3"/>
      <c r="F5450" s="19"/>
      <c r="G5450" s="19"/>
      <c r="N5450" s="19"/>
      <c r="P5450" s="19"/>
      <c r="AL5450" s="19"/>
    </row>
    <row r="5451" spans="1:38" s="11" customFormat="1" x14ac:dyDescent="0.25">
      <c r="A5451" s="3"/>
      <c r="F5451" s="19"/>
      <c r="G5451" s="19"/>
      <c r="N5451" s="19"/>
      <c r="P5451" s="19"/>
      <c r="AL5451" s="19"/>
    </row>
    <row r="5452" spans="1:38" s="11" customFormat="1" x14ac:dyDescent="0.25">
      <c r="A5452" s="3"/>
      <c r="F5452" s="19"/>
      <c r="G5452" s="19"/>
      <c r="N5452" s="19"/>
      <c r="P5452" s="19"/>
      <c r="AL5452" s="19"/>
    </row>
    <row r="5453" spans="1:38" s="11" customFormat="1" x14ac:dyDescent="0.25">
      <c r="A5453" s="3"/>
      <c r="F5453" s="19"/>
      <c r="G5453" s="19"/>
      <c r="N5453" s="19"/>
      <c r="P5453" s="19"/>
      <c r="AL5453" s="19"/>
    </row>
    <row r="5454" spans="1:38" s="11" customFormat="1" x14ac:dyDescent="0.25">
      <c r="A5454" s="3"/>
      <c r="F5454" s="19"/>
      <c r="G5454" s="19"/>
      <c r="N5454" s="19"/>
      <c r="P5454" s="19"/>
      <c r="AL5454" s="19"/>
    </row>
    <row r="5455" spans="1:38" s="11" customFormat="1" x14ac:dyDescent="0.25">
      <c r="A5455" s="3"/>
      <c r="F5455" s="19"/>
      <c r="G5455" s="19"/>
      <c r="N5455" s="19"/>
      <c r="P5455" s="19"/>
      <c r="AL5455" s="19"/>
    </row>
    <row r="5456" spans="1:38" s="11" customFormat="1" x14ac:dyDescent="0.25">
      <c r="A5456" s="3"/>
      <c r="F5456" s="19"/>
      <c r="G5456" s="19"/>
      <c r="N5456" s="19"/>
      <c r="P5456" s="19"/>
      <c r="AL5456" s="19"/>
    </row>
    <row r="5457" spans="1:38" s="11" customFormat="1" x14ac:dyDescent="0.25">
      <c r="A5457" s="3"/>
      <c r="F5457" s="19"/>
      <c r="G5457" s="19"/>
      <c r="N5457" s="19"/>
      <c r="P5457" s="19"/>
      <c r="AL5457" s="19"/>
    </row>
    <row r="5458" spans="1:38" s="11" customFormat="1" x14ac:dyDescent="0.25">
      <c r="A5458" s="3"/>
      <c r="F5458" s="19"/>
      <c r="G5458" s="19"/>
      <c r="N5458" s="19"/>
      <c r="P5458" s="19"/>
      <c r="AL5458" s="19"/>
    </row>
    <row r="5459" spans="1:38" s="11" customFormat="1" x14ac:dyDescent="0.25">
      <c r="A5459" s="3"/>
      <c r="F5459" s="19"/>
      <c r="G5459" s="19"/>
      <c r="N5459" s="19"/>
      <c r="P5459" s="19"/>
      <c r="AL5459" s="19"/>
    </row>
    <row r="5460" spans="1:38" s="11" customFormat="1" x14ac:dyDescent="0.25">
      <c r="A5460" s="3"/>
      <c r="F5460" s="19"/>
      <c r="G5460" s="19"/>
      <c r="N5460" s="19"/>
      <c r="P5460" s="19"/>
      <c r="AL5460" s="19"/>
    </row>
    <row r="5461" spans="1:38" s="11" customFormat="1" x14ac:dyDescent="0.25">
      <c r="A5461" s="3"/>
      <c r="F5461" s="19"/>
      <c r="G5461" s="19"/>
      <c r="N5461" s="19"/>
      <c r="P5461" s="19"/>
      <c r="AL5461" s="19"/>
    </row>
    <row r="5462" spans="1:38" s="11" customFormat="1" x14ac:dyDescent="0.25">
      <c r="A5462" s="3"/>
      <c r="F5462" s="19"/>
      <c r="G5462" s="19"/>
      <c r="N5462" s="19"/>
      <c r="P5462" s="19"/>
      <c r="AL5462" s="19"/>
    </row>
    <row r="5463" spans="1:38" s="11" customFormat="1" x14ac:dyDescent="0.25">
      <c r="A5463" s="3"/>
      <c r="F5463" s="19"/>
      <c r="G5463" s="19"/>
      <c r="N5463" s="19"/>
      <c r="P5463" s="19"/>
      <c r="AL5463" s="19"/>
    </row>
    <row r="5464" spans="1:38" s="11" customFormat="1" x14ac:dyDescent="0.25">
      <c r="A5464" s="3"/>
      <c r="F5464" s="19"/>
      <c r="G5464" s="19"/>
      <c r="N5464" s="19"/>
      <c r="P5464" s="19"/>
      <c r="AL5464" s="19"/>
    </row>
    <row r="5465" spans="1:38" s="11" customFormat="1" x14ac:dyDescent="0.25">
      <c r="A5465" s="3"/>
      <c r="F5465" s="19"/>
      <c r="G5465" s="19"/>
      <c r="N5465" s="19"/>
      <c r="P5465" s="19"/>
      <c r="AL5465" s="19"/>
    </row>
    <row r="5466" spans="1:38" s="11" customFormat="1" x14ac:dyDescent="0.25">
      <c r="A5466" s="3"/>
      <c r="F5466" s="19"/>
      <c r="G5466" s="19"/>
      <c r="N5466" s="19"/>
      <c r="P5466" s="19"/>
      <c r="AL5466" s="19"/>
    </row>
    <row r="5467" spans="1:38" s="11" customFormat="1" x14ac:dyDescent="0.25">
      <c r="A5467" s="3"/>
      <c r="F5467" s="19"/>
      <c r="G5467" s="19"/>
      <c r="N5467" s="19"/>
      <c r="P5467" s="19"/>
      <c r="AL5467" s="19"/>
    </row>
    <row r="5468" spans="1:38" s="11" customFormat="1" x14ac:dyDescent="0.25">
      <c r="A5468" s="3"/>
      <c r="F5468" s="19"/>
      <c r="G5468" s="19"/>
      <c r="N5468" s="19"/>
      <c r="P5468" s="19"/>
      <c r="AL5468" s="19"/>
    </row>
    <row r="5469" spans="1:38" s="11" customFormat="1" x14ac:dyDescent="0.25">
      <c r="A5469" s="3"/>
      <c r="F5469" s="19"/>
      <c r="G5469" s="19"/>
      <c r="N5469" s="19"/>
      <c r="P5469" s="19"/>
      <c r="AL5469" s="19"/>
    </row>
    <row r="5470" spans="1:38" s="11" customFormat="1" x14ac:dyDescent="0.25">
      <c r="A5470" s="3"/>
      <c r="F5470" s="19"/>
      <c r="G5470" s="19"/>
      <c r="N5470" s="19"/>
      <c r="P5470" s="19"/>
      <c r="AL5470" s="19"/>
    </row>
    <row r="5471" spans="1:38" s="11" customFormat="1" x14ac:dyDescent="0.25">
      <c r="A5471" s="3"/>
      <c r="F5471" s="19"/>
      <c r="G5471" s="19"/>
      <c r="N5471" s="19"/>
      <c r="P5471" s="19"/>
      <c r="AL5471" s="19"/>
    </row>
    <row r="5472" spans="1:38" s="11" customFormat="1" x14ac:dyDescent="0.25">
      <c r="A5472" s="3"/>
      <c r="F5472" s="19"/>
      <c r="G5472" s="19"/>
      <c r="N5472" s="19"/>
      <c r="P5472" s="19"/>
      <c r="AL5472" s="19"/>
    </row>
    <row r="5473" spans="1:38" s="11" customFormat="1" x14ac:dyDescent="0.25">
      <c r="A5473" s="3"/>
      <c r="F5473" s="19"/>
      <c r="G5473" s="19"/>
      <c r="N5473" s="19"/>
      <c r="P5473" s="19"/>
      <c r="AL5473" s="19"/>
    </row>
    <row r="5474" spans="1:38" s="11" customFormat="1" x14ac:dyDescent="0.25">
      <c r="A5474" s="3"/>
      <c r="F5474" s="19"/>
      <c r="G5474" s="19"/>
      <c r="N5474" s="19"/>
      <c r="P5474" s="19"/>
      <c r="AL5474" s="19"/>
    </row>
    <row r="5475" spans="1:38" s="11" customFormat="1" x14ac:dyDescent="0.25">
      <c r="A5475" s="3"/>
      <c r="F5475" s="19"/>
      <c r="G5475" s="19"/>
      <c r="N5475" s="19"/>
      <c r="P5475" s="19"/>
      <c r="AL5475" s="19"/>
    </row>
    <row r="5476" spans="1:38" s="11" customFormat="1" x14ac:dyDescent="0.25">
      <c r="A5476" s="3"/>
      <c r="F5476" s="19"/>
      <c r="G5476" s="19"/>
      <c r="N5476" s="19"/>
      <c r="P5476" s="19"/>
      <c r="AL5476" s="19"/>
    </row>
    <row r="5477" spans="1:38" s="11" customFormat="1" x14ac:dyDescent="0.25">
      <c r="A5477" s="3"/>
      <c r="F5477" s="19"/>
      <c r="G5477" s="19"/>
      <c r="N5477" s="19"/>
      <c r="P5477" s="19"/>
      <c r="AL5477" s="19"/>
    </row>
    <row r="5478" spans="1:38" s="11" customFormat="1" x14ac:dyDescent="0.25">
      <c r="A5478" s="3"/>
      <c r="F5478" s="19"/>
      <c r="G5478" s="19"/>
      <c r="N5478" s="19"/>
      <c r="P5478" s="19"/>
      <c r="AL5478" s="19"/>
    </row>
    <row r="5479" spans="1:38" s="11" customFormat="1" x14ac:dyDescent="0.25">
      <c r="A5479" s="3"/>
      <c r="F5479" s="19"/>
      <c r="G5479" s="19"/>
      <c r="N5479" s="19"/>
      <c r="P5479" s="19"/>
      <c r="AL5479" s="19"/>
    </row>
    <row r="5480" spans="1:38" s="11" customFormat="1" x14ac:dyDescent="0.25">
      <c r="A5480" s="3"/>
      <c r="F5480" s="19"/>
      <c r="G5480" s="19"/>
      <c r="N5480" s="19"/>
      <c r="P5480" s="19"/>
      <c r="AL5480" s="19"/>
    </row>
    <row r="5481" spans="1:38" s="11" customFormat="1" x14ac:dyDescent="0.25">
      <c r="A5481" s="3"/>
      <c r="F5481" s="19"/>
      <c r="G5481" s="19"/>
      <c r="N5481" s="19"/>
      <c r="P5481" s="19"/>
      <c r="AL5481" s="19"/>
    </row>
    <row r="5482" spans="1:38" s="11" customFormat="1" x14ac:dyDescent="0.25">
      <c r="A5482" s="3"/>
      <c r="F5482" s="19"/>
      <c r="G5482" s="19"/>
      <c r="N5482" s="19"/>
      <c r="P5482" s="19"/>
      <c r="AL5482" s="19"/>
    </row>
    <row r="5483" spans="1:38" s="11" customFormat="1" x14ac:dyDescent="0.25">
      <c r="A5483" s="3"/>
      <c r="F5483" s="19"/>
      <c r="G5483" s="19"/>
      <c r="N5483" s="19"/>
      <c r="P5483" s="19"/>
      <c r="AL5483" s="19"/>
    </row>
    <row r="5484" spans="1:38" s="11" customFormat="1" x14ac:dyDescent="0.25">
      <c r="A5484" s="3"/>
      <c r="F5484" s="19"/>
      <c r="G5484" s="19"/>
      <c r="N5484" s="19"/>
      <c r="P5484" s="19"/>
      <c r="AL5484" s="19"/>
    </row>
    <row r="5485" spans="1:38" s="11" customFormat="1" x14ac:dyDescent="0.25">
      <c r="A5485" s="3"/>
      <c r="F5485" s="19"/>
      <c r="G5485" s="19"/>
      <c r="N5485" s="19"/>
      <c r="P5485" s="19"/>
      <c r="AL5485" s="19"/>
    </row>
    <row r="5486" spans="1:38" s="11" customFormat="1" x14ac:dyDescent="0.25">
      <c r="A5486" s="3"/>
      <c r="F5486" s="19"/>
      <c r="G5486" s="19"/>
      <c r="N5486" s="19"/>
      <c r="P5486" s="19"/>
      <c r="AL5486" s="19"/>
    </row>
    <row r="5487" spans="1:38" s="11" customFormat="1" x14ac:dyDescent="0.25">
      <c r="A5487" s="3"/>
      <c r="F5487" s="19"/>
      <c r="G5487" s="19"/>
      <c r="N5487" s="19"/>
      <c r="P5487" s="19"/>
      <c r="AL5487" s="19"/>
    </row>
    <row r="5488" spans="1:38" s="11" customFormat="1" x14ac:dyDescent="0.25">
      <c r="A5488" s="3"/>
      <c r="F5488" s="19"/>
      <c r="G5488" s="19"/>
      <c r="N5488" s="19"/>
      <c r="P5488" s="19"/>
      <c r="AL5488" s="19"/>
    </row>
    <row r="5489" spans="1:38" s="11" customFormat="1" x14ac:dyDescent="0.25">
      <c r="A5489" s="3"/>
      <c r="F5489" s="19"/>
      <c r="G5489" s="19"/>
      <c r="N5489" s="19"/>
      <c r="P5489" s="19"/>
      <c r="AL5489" s="19"/>
    </row>
    <row r="5490" spans="1:38" s="11" customFormat="1" x14ac:dyDescent="0.25">
      <c r="A5490" s="3"/>
      <c r="F5490" s="19"/>
      <c r="G5490" s="19"/>
      <c r="N5490" s="19"/>
      <c r="P5490" s="19"/>
      <c r="AL5490" s="19"/>
    </row>
    <row r="5491" spans="1:38" s="11" customFormat="1" x14ac:dyDescent="0.25">
      <c r="A5491" s="3"/>
      <c r="F5491" s="19"/>
      <c r="G5491" s="19"/>
      <c r="N5491" s="19"/>
      <c r="P5491" s="19"/>
      <c r="AL5491" s="19"/>
    </row>
    <row r="5492" spans="1:38" s="11" customFormat="1" x14ac:dyDescent="0.25">
      <c r="A5492" s="3"/>
      <c r="F5492" s="19"/>
      <c r="G5492" s="19"/>
      <c r="N5492" s="19"/>
      <c r="P5492" s="19"/>
      <c r="AL5492" s="19"/>
    </row>
    <row r="5493" spans="1:38" s="11" customFormat="1" x14ac:dyDescent="0.25">
      <c r="A5493" s="3"/>
      <c r="F5493" s="19"/>
      <c r="G5493" s="19"/>
      <c r="N5493" s="19"/>
      <c r="P5493" s="19"/>
      <c r="AL5493" s="19"/>
    </row>
    <row r="5494" spans="1:38" s="11" customFormat="1" x14ac:dyDescent="0.25">
      <c r="A5494" s="3"/>
      <c r="F5494" s="19"/>
      <c r="G5494" s="19"/>
      <c r="N5494" s="19"/>
      <c r="P5494" s="19"/>
      <c r="AL5494" s="19"/>
    </row>
    <row r="5495" spans="1:38" s="11" customFormat="1" x14ac:dyDescent="0.25">
      <c r="A5495" s="3"/>
      <c r="F5495" s="19"/>
      <c r="G5495" s="19"/>
      <c r="N5495" s="19"/>
      <c r="P5495" s="19"/>
      <c r="AL5495" s="19"/>
    </row>
    <row r="5496" spans="1:38" s="11" customFormat="1" x14ac:dyDescent="0.25">
      <c r="A5496" s="3"/>
      <c r="F5496" s="19"/>
      <c r="G5496" s="19"/>
      <c r="N5496" s="19"/>
      <c r="P5496" s="19"/>
      <c r="AL5496" s="19"/>
    </row>
    <row r="5497" spans="1:38" s="11" customFormat="1" x14ac:dyDescent="0.25">
      <c r="A5497" s="3"/>
      <c r="F5497" s="19"/>
      <c r="G5497" s="19"/>
      <c r="N5497" s="19"/>
      <c r="P5497" s="19"/>
      <c r="AL5497" s="19"/>
    </row>
    <row r="5498" spans="1:38" s="11" customFormat="1" x14ac:dyDescent="0.25">
      <c r="A5498" s="3"/>
      <c r="F5498" s="19"/>
      <c r="G5498" s="19"/>
      <c r="N5498" s="19"/>
      <c r="P5498" s="19"/>
      <c r="AL5498" s="19"/>
    </row>
    <row r="5499" spans="1:38" s="11" customFormat="1" x14ac:dyDescent="0.25">
      <c r="A5499" s="3"/>
      <c r="F5499" s="19"/>
      <c r="G5499" s="19"/>
      <c r="N5499" s="19"/>
      <c r="P5499" s="19"/>
      <c r="AL5499" s="19"/>
    </row>
    <row r="5500" spans="1:38" s="11" customFormat="1" x14ac:dyDescent="0.25">
      <c r="A5500" s="3"/>
      <c r="F5500" s="19"/>
      <c r="G5500" s="19"/>
      <c r="N5500" s="19"/>
      <c r="P5500" s="19"/>
      <c r="AL5500" s="19"/>
    </row>
    <row r="5501" spans="1:38" s="11" customFormat="1" x14ac:dyDescent="0.25">
      <c r="A5501" s="3"/>
      <c r="F5501" s="19"/>
      <c r="G5501" s="19"/>
      <c r="N5501" s="19"/>
      <c r="P5501" s="19"/>
      <c r="AL5501" s="19"/>
    </row>
    <row r="5502" spans="1:38" s="11" customFormat="1" x14ac:dyDescent="0.25">
      <c r="A5502" s="3"/>
      <c r="F5502" s="19"/>
      <c r="G5502" s="19"/>
      <c r="N5502" s="19"/>
      <c r="P5502" s="19"/>
      <c r="AL5502" s="19"/>
    </row>
    <row r="5503" spans="1:38" s="11" customFormat="1" x14ac:dyDescent="0.25">
      <c r="A5503" s="3"/>
      <c r="F5503" s="19"/>
      <c r="G5503" s="19"/>
      <c r="N5503" s="19"/>
      <c r="P5503" s="19"/>
      <c r="AL5503" s="19"/>
    </row>
    <row r="5504" spans="1:38" s="11" customFormat="1" x14ac:dyDescent="0.25">
      <c r="A5504" s="3"/>
      <c r="F5504" s="19"/>
      <c r="G5504" s="19"/>
      <c r="N5504" s="19"/>
      <c r="P5504" s="19"/>
      <c r="AL5504" s="19"/>
    </row>
    <row r="5505" spans="1:38" s="11" customFormat="1" x14ac:dyDescent="0.25">
      <c r="A5505" s="3"/>
      <c r="F5505" s="19"/>
      <c r="G5505" s="19"/>
      <c r="N5505" s="19"/>
      <c r="P5505" s="19"/>
      <c r="AL5505" s="19"/>
    </row>
    <row r="5506" spans="1:38" s="11" customFormat="1" x14ac:dyDescent="0.25">
      <c r="A5506" s="3"/>
      <c r="F5506" s="19"/>
      <c r="G5506" s="19"/>
      <c r="N5506" s="19"/>
      <c r="P5506" s="19"/>
      <c r="AL5506" s="19"/>
    </row>
    <row r="5507" spans="1:38" s="11" customFormat="1" x14ac:dyDescent="0.25">
      <c r="A5507" s="3"/>
      <c r="F5507" s="19"/>
      <c r="G5507" s="19"/>
      <c r="N5507" s="19"/>
      <c r="P5507" s="19"/>
      <c r="AL5507" s="19"/>
    </row>
    <row r="5508" spans="1:38" s="11" customFormat="1" x14ac:dyDescent="0.25">
      <c r="A5508" s="3"/>
      <c r="F5508" s="19"/>
      <c r="G5508" s="19"/>
      <c r="N5508" s="19"/>
      <c r="P5508" s="19"/>
      <c r="AL5508" s="19"/>
    </row>
    <row r="5509" spans="1:38" s="11" customFormat="1" x14ac:dyDescent="0.25">
      <c r="A5509" s="3"/>
      <c r="F5509" s="19"/>
      <c r="G5509" s="19"/>
      <c r="N5509" s="19"/>
      <c r="P5509" s="19"/>
      <c r="AL5509" s="19"/>
    </row>
    <row r="5510" spans="1:38" s="11" customFormat="1" x14ac:dyDescent="0.25">
      <c r="A5510" s="3"/>
      <c r="F5510" s="19"/>
      <c r="G5510" s="19"/>
      <c r="N5510" s="19"/>
      <c r="P5510" s="19"/>
      <c r="AL5510" s="19"/>
    </row>
    <row r="5511" spans="1:38" s="11" customFormat="1" x14ac:dyDescent="0.25">
      <c r="A5511" s="3"/>
      <c r="F5511" s="19"/>
      <c r="G5511" s="19"/>
      <c r="N5511" s="19"/>
      <c r="P5511" s="19"/>
      <c r="AL5511" s="19"/>
    </row>
    <row r="5512" spans="1:38" s="11" customFormat="1" x14ac:dyDescent="0.25">
      <c r="A5512" s="3"/>
      <c r="F5512" s="19"/>
      <c r="G5512" s="19"/>
      <c r="N5512" s="19"/>
      <c r="P5512" s="19"/>
      <c r="AL5512" s="19"/>
    </row>
    <row r="5513" spans="1:38" s="11" customFormat="1" x14ac:dyDescent="0.25">
      <c r="A5513" s="3"/>
      <c r="F5513" s="19"/>
      <c r="G5513" s="19"/>
      <c r="N5513" s="19"/>
      <c r="P5513" s="19"/>
      <c r="AL5513" s="19"/>
    </row>
    <row r="5514" spans="1:38" s="11" customFormat="1" x14ac:dyDescent="0.25">
      <c r="A5514" s="3"/>
      <c r="F5514" s="19"/>
      <c r="G5514" s="19"/>
      <c r="N5514" s="19"/>
      <c r="P5514" s="19"/>
      <c r="AL5514" s="19"/>
    </row>
    <row r="5515" spans="1:38" s="11" customFormat="1" x14ac:dyDescent="0.25">
      <c r="A5515" s="3"/>
      <c r="F5515" s="19"/>
      <c r="G5515" s="19"/>
      <c r="N5515" s="19"/>
      <c r="P5515" s="19"/>
      <c r="AL5515" s="19"/>
    </row>
    <row r="5516" spans="1:38" s="11" customFormat="1" x14ac:dyDescent="0.25">
      <c r="A5516" s="3"/>
      <c r="F5516" s="19"/>
      <c r="G5516" s="19"/>
      <c r="N5516" s="19"/>
      <c r="P5516" s="19"/>
      <c r="AL5516" s="19"/>
    </row>
    <row r="5517" spans="1:38" s="11" customFormat="1" x14ac:dyDescent="0.25">
      <c r="A5517" s="3"/>
      <c r="F5517" s="19"/>
      <c r="G5517" s="19"/>
      <c r="N5517" s="19"/>
      <c r="P5517" s="19"/>
      <c r="AL5517" s="19"/>
    </row>
    <row r="5518" spans="1:38" s="11" customFormat="1" x14ac:dyDescent="0.25">
      <c r="A5518" s="3"/>
      <c r="F5518" s="19"/>
      <c r="G5518" s="19"/>
      <c r="N5518" s="19"/>
      <c r="P5518" s="19"/>
      <c r="AL5518" s="19"/>
    </row>
    <row r="5519" spans="1:38" s="11" customFormat="1" x14ac:dyDescent="0.25">
      <c r="A5519" s="3"/>
      <c r="F5519" s="19"/>
      <c r="G5519" s="19"/>
      <c r="N5519" s="19"/>
      <c r="P5519" s="19"/>
      <c r="AL5519" s="19"/>
    </row>
    <row r="5520" spans="1:38" s="11" customFormat="1" x14ac:dyDescent="0.25">
      <c r="A5520" s="3"/>
      <c r="F5520" s="19"/>
      <c r="G5520" s="19"/>
      <c r="N5520" s="19"/>
      <c r="P5520" s="19"/>
      <c r="AL5520" s="19"/>
    </row>
    <row r="5521" spans="1:38" s="11" customFormat="1" x14ac:dyDescent="0.25">
      <c r="A5521" s="3"/>
      <c r="F5521" s="19"/>
      <c r="G5521" s="19"/>
      <c r="N5521" s="19"/>
      <c r="P5521" s="19"/>
      <c r="AL5521" s="19"/>
    </row>
    <row r="5522" spans="1:38" s="11" customFormat="1" x14ac:dyDescent="0.25">
      <c r="A5522" s="3"/>
      <c r="F5522" s="19"/>
      <c r="G5522" s="19"/>
      <c r="N5522" s="19"/>
      <c r="P5522" s="19"/>
      <c r="AL5522" s="19"/>
    </row>
    <row r="5523" spans="1:38" s="11" customFormat="1" x14ac:dyDescent="0.25">
      <c r="A5523" s="3"/>
      <c r="F5523" s="19"/>
      <c r="G5523" s="19"/>
      <c r="N5523" s="19"/>
      <c r="P5523" s="19"/>
      <c r="AL5523" s="19"/>
    </row>
    <row r="5524" spans="1:38" s="11" customFormat="1" x14ac:dyDescent="0.25">
      <c r="A5524" s="3"/>
      <c r="F5524" s="19"/>
      <c r="G5524" s="19"/>
      <c r="N5524" s="19"/>
      <c r="P5524" s="19"/>
      <c r="AL5524" s="19"/>
    </row>
    <row r="5525" spans="1:38" s="11" customFormat="1" x14ac:dyDescent="0.25">
      <c r="A5525" s="3"/>
      <c r="F5525" s="19"/>
      <c r="G5525" s="19"/>
      <c r="N5525" s="19"/>
      <c r="P5525" s="19"/>
      <c r="AL5525" s="19"/>
    </row>
    <row r="5526" spans="1:38" s="11" customFormat="1" x14ac:dyDescent="0.25">
      <c r="A5526" s="3"/>
      <c r="F5526" s="19"/>
      <c r="G5526" s="19"/>
      <c r="N5526" s="19"/>
      <c r="P5526" s="19"/>
      <c r="AL5526" s="19"/>
    </row>
    <row r="5527" spans="1:38" s="11" customFormat="1" x14ac:dyDescent="0.25">
      <c r="A5527" s="3"/>
      <c r="F5527" s="19"/>
      <c r="G5527" s="19"/>
      <c r="N5527" s="19"/>
      <c r="P5527" s="19"/>
      <c r="AL5527" s="19"/>
    </row>
    <row r="5528" spans="1:38" s="11" customFormat="1" x14ac:dyDescent="0.25">
      <c r="A5528" s="3"/>
      <c r="F5528" s="19"/>
      <c r="G5528" s="19"/>
      <c r="N5528" s="19"/>
      <c r="P5528" s="19"/>
      <c r="AL5528" s="19"/>
    </row>
    <row r="5529" spans="1:38" s="11" customFormat="1" x14ac:dyDescent="0.25">
      <c r="A5529" s="3"/>
      <c r="F5529" s="19"/>
      <c r="G5529" s="19"/>
      <c r="N5529" s="19"/>
      <c r="P5529" s="19"/>
      <c r="AL5529" s="19"/>
    </row>
    <row r="5530" spans="1:38" s="11" customFormat="1" x14ac:dyDescent="0.25">
      <c r="A5530" s="3"/>
      <c r="F5530" s="19"/>
      <c r="G5530" s="19"/>
      <c r="N5530" s="19"/>
      <c r="P5530" s="19"/>
      <c r="AL5530" s="19"/>
    </row>
    <row r="5531" spans="1:38" s="11" customFormat="1" x14ac:dyDescent="0.25">
      <c r="A5531" s="3"/>
      <c r="F5531" s="19"/>
      <c r="G5531" s="19"/>
      <c r="N5531" s="19"/>
      <c r="P5531" s="19"/>
      <c r="AL5531" s="19"/>
    </row>
    <row r="5532" spans="1:38" s="11" customFormat="1" x14ac:dyDescent="0.25">
      <c r="A5532" s="3"/>
      <c r="F5532" s="19"/>
      <c r="G5532" s="19"/>
      <c r="N5532" s="19"/>
      <c r="P5532" s="19"/>
      <c r="AL5532" s="19"/>
    </row>
    <row r="5533" spans="1:38" s="11" customFormat="1" x14ac:dyDescent="0.25">
      <c r="A5533" s="3"/>
      <c r="F5533" s="19"/>
      <c r="G5533" s="19"/>
      <c r="N5533" s="19"/>
      <c r="P5533" s="19"/>
      <c r="AL5533" s="19"/>
    </row>
    <row r="5534" spans="1:38" s="11" customFormat="1" x14ac:dyDescent="0.25">
      <c r="A5534" s="3"/>
      <c r="F5534" s="19"/>
      <c r="G5534" s="19"/>
      <c r="N5534" s="19"/>
      <c r="P5534" s="19"/>
      <c r="AL5534" s="19"/>
    </row>
    <row r="5535" spans="1:38" s="11" customFormat="1" x14ac:dyDescent="0.25">
      <c r="A5535" s="3"/>
      <c r="F5535" s="19"/>
      <c r="G5535" s="19"/>
      <c r="N5535" s="19"/>
      <c r="P5535" s="19"/>
      <c r="AL5535" s="19"/>
    </row>
    <row r="5536" spans="1:38" s="11" customFormat="1" x14ac:dyDescent="0.25">
      <c r="A5536" s="3"/>
      <c r="F5536" s="19"/>
      <c r="G5536" s="19"/>
      <c r="N5536" s="19"/>
      <c r="P5536" s="19"/>
      <c r="AL5536" s="19"/>
    </row>
    <row r="5537" spans="1:38" s="11" customFormat="1" x14ac:dyDescent="0.25">
      <c r="A5537" s="3"/>
      <c r="F5537" s="19"/>
      <c r="G5537" s="19"/>
      <c r="N5537" s="19"/>
      <c r="P5537" s="19"/>
      <c r="AL5537" s="19"/>
    </row>
    <row r="5538" spans="1:38" s="11" customFormat="1" x14ac:dyDescent="0.25">
      <c r="A5538" s="3"/>
      <c r="F5538" s="19"/>
      <c r="G5538" s="19"/>
      <c r="N5538" s="19"/>
      <c r="P5538" s="19"/>
      <c r="AL5538" s="19"/>
    </row>
    <row r="5539" spans="1:38" s="11" customFormat="1" x14ac:dyDescent="0.25">
      <c r="A5539" s="3"/>
      <c r="F5539" s="19"/>
      <c r="G5539" s="19"/>
      <c r="N5539" s="19"/>
      <c r="P5539" s="19"/>
      <c r="AL5539" s="19"/>
    </row>
    <row r="5540" spans="1:38" s="11" customFormat="1" x14ac:dyDescent="0.25">
      <c r="A5540" s="3"/>
      <c r="F5540" s="19"/>
      <c r="G5540" s="19"/>
      <c r="N5540" s="19"/>
      <c r="P5540" s="19"/>
      <c r="AL5540" s="19"/>
    </row>
    <row r="5541" spans="1:38" s="11" customFormat="1" x14ac:dyDescent="0.25">
      <c r="A5541" s="3"/>
      <c r="F5541" s="19"/>
      <c r="G5541" s="19"/>
      <c r="N5541" s="19"/>
      <c r="P5541" s="19"/>
      <c r="AL5541" s="19"/>
    </row>
    <row r="5542" spans="1:38" s="11" customFormat="1" x14ac:dyDescent="0.25">
      <c r="A5542" s="3"/>
      <c r="F5542" s="19"/>
      <c r="G5542" s="19"/>
      <c r="N5542" s="19"/>
      <c r="P5542" s="19"/>
      <c r="AL5542" s="19"/>
    </row>
    <row r="5543" spans="1:38" s="11" customFormat="1" x14ac:dyDescent="0.25">
      <c r="A5543" s="3"/>
      <c r="F5543" s="19"/>
      <c r="G5543" s="19"/>
      <c r="N5543" s="19"/>
      <c r="P5543" s="19"/>
      <c r="AL5543" s="19"/>
    </row>
    <row r="5544" spans="1:38" s="11" customFormat="1" x14ac:dyDescent="0.25">
      <c r="A5544" s="3"/>
      <c r="F5544" s="19"/>
      <c r="G5544" s="19"/>
      <c r="N5544" s="19"/>
      <c r="P5544" s="19"/>
      <c r="AL5544" s="19"/>
    </row>
    <row r="5545" spans="1:38" s="11" customFormat="1" x14ac:dyDescent="0.25">
      <c r="A5545" s="3"/>
      <c r="F5545" s="19"/>
      <c r="G5545" s="19"/>
      <c r="N5545" s="19"/>
      <c r="P5545" s="19"/>
      <c r="AL5545" s="19"/>
    </row>
    <row r="5546" spans="1:38" s="11" customFormat="1" x14ac:dyDescent="0.25">
      <c r="A5546" s="3"/>
      <c r="F5546" s="19"/>
      <c r="G5546" s="19"/>
      <c r="N5546" s="19"/>
      <c r="P5546" s="19"/>
      <c r="AL5546" s="19"/>
    </row>
    <row r="5547" spans="1:38" s="11" customFormat="1" x14ac:dyDescent="0.25">
      <c r="A5547" s="3"/>
      <c r="F5547" s="19"/>
      <c r="G5547" s="19"/>
      <c r="N5547" s="19"/>
      <c r="P5547" s="19"/>
      <c r="AL5547" s="19"/>
    </row>
    <row r="5548" spans="1:38" s="11" customFormat="1" x14ac:dyDescent="0.25">
      <c r="A5548" s="3"/>
      <c r="F5548" s="19"/>
      <c r="G5548" s="19"/>
      <c r="N5548" s="19"/>
      <c r="P5548" s="19"/>
      <c r="AL5548" s="19"/>
    </row>
    <row r="5549" spans="1:38" s="11" customFormat="1" x14ac:dyDescent="0.25">
      <c r="A5549" s="3"/>
      <c r="F5549" s="19"/>
      <c r="G5549" s="19"/>
      <c r="N5549" s="19"/>
      <c r="P5549" s="19"/>
      <c r="AL5549" s="19"/>
    </row>
    <row r="5550" spans="1:38" s="11" customFormat="1" x14ac:dyDescent="0.25">
      <c r="A5550" s="3"/>
      <c r="F5550" s="19"/>
      <c r="G5550" s="19"/>
      <c r="N5550" s="19"/>
      <c r="P5550" s="19"/>
      <c r="AL5550" s="19"/>
    </row>
    <row r="5551" spans="1:38" s="11" customFormat="1" x14ac:dyDescent="0.25">
      <c r="A5551" s="3"/>
      <c r="F5551" s="19"/>
      <c r="G5551" s="19"/>
      <c r="N5551" s="19"/>
      <c r="P5551" s="19"/>
      <c r="AL5551" s="19"/>
    </row>
    <row r="5552" spans="1:38" s="11" customFormat="1" x14ac:dyDescent="0.25">
      <c r="A5552" s="3"/>
      <c r="F5552" s="19"/>
      <c r="G5552" s="19"/>
      <c r="N5552" s="19"/>
      <c r="P5552" s="19"/>
      <c r="AL5552" s="19"/>
    </row>
    <row r="5553" spans="1:38" s="11" customFormat="1" x14ac:dyDescent="0.25">
      <c r="A5553" s="3"/>
      <c r="F5553" s="19"/>
      <c r="G5553" s="19"/>
      <c r="N5553" s="19"/>
      <c r="P5553" s="19"/>
      <c r="AL5553" s="19"/>
    </row>
    <row r="5554" spans="1:38" s="11" customFormat="1" x14ac:dyDescent="0.25">
      <c r="A5554" s="3"/>
      <c r="F5554" s="19"/>
      <c r="G5554" s="19"/>
      <c r="N5554" s="19"/>
      <c r="P5554" s="19"/>
      <c r="AL5554" s="19"/>
    </row>
    <row r="5555" spans="1:38" s="11" customFormat="1" x14ac:dyDescent="0.25">
      <c r="A5555" s="3"/>
      <c r="F5555" s="19"/>
      <c r="G5555" s="19"/>
      <c r="N5555" s="19"/>
      <c r="P5555" s="19"/>
      <c r="AL5555" s="19"/>
    </row>
    <row r="5556" spans="1:38" s="11" customFormat="1" x14ac:dyDescent="0.25">
      <c r="A5556" s="3"/>
      <c r="F5556" s="19"/>
      <c r="G5556" s="19"/>
      <c r="N5556" s="19"/>
      <c r="P5556" s="19"/>
      <c r="AL5556" s="19"/>
    </row>
    <row r="5557" spans="1:38" s="11" customFormat="1" x14ac:dyDescent="0.25">
      <c r="A5557" s="3"/>
      <c r="F5557" s="19"/>
      <c r="G5557" s="19"/>
      <c r="N5557" s="19"/>
      <c r="P5557" s="19"/>
      <c r="AL5557" s="19"/>
    </row>
    <row r="5558" spans="1:38" s="11" customFormat="1" x14ac:dyDescent="0.25">
      <c r="A5558" s="3"/>
      <c r="F5558" s="19"/>
      <c r="G5558" s="19"/>
      <c r="N5558" s="19"/>
      <c r="P5558" s="19"/>
      <c r="AL5558" s="19"/>
    </row>
    <row r="5559" spans="1:38" s="11" customFormat="1" x14ac:dyDescent="0.25">
      <c r="A5559" s="3"/>
      <c r="F5559" s="19"/>
      <c r="G5559" s="19"/>
      <c r="N5559" s="19"/>
      <c r="P5559" s="19"/>
      <c r="AL5559" s="19"/>
    </row>
    <row r="5560" spans="1:38" s="11" customFormat="1" x14ac:dyDescent="0.25">
      <c r="A5560" s="3"/>
      <c r="F5560" s="19"/>
      <c r="G5560" s="19"/>
      <c r="N5560" s="19"/>
      <c r="P5560" s="19"/>
      <c r="AL5560" s="19"/>
    </row>
    <row r="5561" spans="1:38" s="11" customFormat="1" x14ac:dyDescent="0.25">
      <c r="A5561" s="3"/>
      <c r="F5561" s="19"/>
      <c r="G5561" s="19"/>
      <c r="N5561" s="19"/>
      <c r="P5561" s="19"/>
      <c r="AL5561" s="19"/>
    </row>
    <row r="5562" spans="1:38" s="11" customFormat="1" x14ac:dyDescent="0.25">
      <c r="A5562" s="3"/>
      <c r="F5562" s="19"/>
      <c r="G5562" s="19"/>
      <c r="N5562" s="19"/>
      <c r="P5562" s="19"/>
      <c r="AL5562" s="19"/>
    </row>
    <row r="5563" spans="1:38" s="11" customFormat="1" x14ac:dyDescent="0.25">
      <c r="A5563" s="3"/>
      <c r="F5563" s="19"/>
      <c r="G5563" s="19"/>
      <c r="N5563" s="19"/>
      <c r="P5563" s="19"/>
      <c r="AL5563" s="19"/>
    </row>
    <row r="5564" spans="1:38" s="11" customFormat="1" x14ac:dyDescent="0.25">
      <c r="A5564" s="3"/>
      <c r="F5564" s="19"/>
      <c r="G5564" s="19"/>
      <c r="N5564" s="19"/>
      <c r="P5564" s="19"/>
      <c r="AL5564" s="19"/>
    </row>
    <row r="5565" spans="1:38" s="11" customFormat="1" x14ac:dyDescent="0.25">
      <c r="A5565" s="3"/>
      <c r="F5565" s="19"/>
      <c r="G5565" s="19"/>
      <c r="N5565" s="19"/>
      <c r="P5565" s="19"/>
      <c r="AL5565" s="19"/>
    </row>
    <row r="5566" spans="1:38" s="11" customFormat="1" x14ac:dyDescent="0.25">
      <c r="A5566" s="3"/>
      <c r="F5566" s="19"/>
      <c r="G5566" s="19"/>
      <c r="N5566" s="19"/>
      <c r="P5566" s="19"/>
      <c r="AL5566" s="19"/>
    </row>
    <row r="5567" spans="1:38" s="11" customFormat="1" x14ac:dyDescent="0.25">
      <c r="A5567" s="3"/>
      <c r="F5567" s="19"/>
      <c r="G5567" s="19"/>
      <c r="N5567" s="19"/>
      <c r="P5567" s="19"/>
      <c r="AL5567" s="19"/>
    </row>
    <row r="5568" spans="1:38" s="11" customFormat="1" x14ac:dyDescent="0.25">
      <c r="A5568" s="3"/>
      <c r="F5568" s="19"/>
      <c r="G5568" s="19"/>
      <c r="N5568" s="19"/>
      <c r="P5568" s="19"/>
      <c r="AL5568" s="19"/>
    </row>
    <row r="5569" spans="1:38" s="11" customFormat="1" x14ac:dyDescent="0.25">
      <c r="A5569" s="3"/>
      <c r="F5569" s="19"/>
      <c r="G5569" s="19"/>
      <c r="N5569" s="19"/>
      <c r="P5569" s="19"/>
      <c r="AL5569" s="19"/>
    </row>
    <row r="5570" spans="1:38" s="11" customFormat="1" x14ac:dyDescent="0.25">
      <c r="A5570" s="3"/>
      <c r="F5570" s="19"/>
      <c r="G5570" s="19"/>
      <c r="N5570" s="19"/>
      <c r="P5570" s="19"/>
      <c r="AL5570" s="19"/>
    </row>
    <row r="5571" spans="1:38" s="11" customFormat="1" x14ac:dyDescent="0.25">
      <c r="A5571" s="3"/>
      <c r="F5571" s="19"/>
      <c r="G5571" s="19"/>
      <c r="N5571" s="19"/>
      <c r="P5571" s="19"/>
      <c r="AL5571" s="19"/>
    </row>
    <row r="5572" spans="1:38" s="11" customFormat="1" x14ac:dyDescent="0.25">
      <c r="A5572" s="3"/>
      <c r="F5572" s="19"/>
      <c r="G5572" s="19"/>
      <c r="N5572" s="19"/>
      <c r="P5572" s="19"/>
      <c r="AL5572" s="19"/>
    </row>
    <row r="5573" spans="1:38" s="11" customFormat="1" x14ac:dyDescent="0.25">
      <c r="A5573" s="3"/>
      <c r="F5573" s="19"/>
      <c r="G5573" s="19"/>
      <c r="N5573" s="19"/>
      <c r="P5573" s="19"/>
      <c r="AL5573" s="19"/>
    </row>
    <row r="5574" spans="1:38" s="11" customFormat="1" x14ac:dyDescent="0.25">
      <c r="A5574" s="3"/>
      <c r="F5574" s="19"/>
      <c r="G5574" s="19"/>
      <c r="N5574" s="19"/>
      <c r="P5574" s="19"/>
      <c r="AL5574" s="19"/>
    </row>
    <row r="5575" spans="1:38" s="11" customFormat="1" x14ac:dyDescent="0.25">
      <c r="A5575" s="3"/>
      <c r="F5575" s="19"/>
      <c r="G5575" s="19"/>
      <c r="N5575" s="19"/>
      <c r="P5575" s="19"/>
      <c r="AL5575" s="19"/>
    </row>
    <row r="5576" spans="1:38" s="11" customFormat="1" x14ac:dyDescent="0.25">
      <c r="A5576" s="3"/>
      <c r="F5576" s="19"/>
      <c r="G5576" s="19"/>
      <c r="N5576" s="19"/>
      <c r="P5576" s="19"/>
      <c r="AL5576" s="19"/>
    </row>
    <row r="5577" spans="1:38" s="11" customFormat="1" x14ac:dyDescent="0.25">
      <c r="A5577" s="3"/>
      <c r="F5577" s="19"/>
      <c r="G5577" s="19"/>
      <c r="N5577" s="19"/>
      <c r="P5577" s="19"/>
      <c r="AL5577" s="19"/>
    </row>
    <row r="5578" spans="1:38" s="11" customFormat="1" x14ac:dyDescent="0.25">
      <c r="A5578" s="3"/>
      <c r="F5578" s="19"/>
      <c r="G5578" s="19"/>
      <c r="N5578" s="19"/>
      <c r="P5578" s="19"/>
      <c r="AL5578" s="19"/>
    </row>
    <row r="5579" spans="1:38" s="11" customFormat="1" x14ac:dyDescent="0.25">
      <c r="A5579" s="3"/>
      <c r="F5579" s="19"/>
      <c r="G5579" s="19"/>
      <c r="N5579" s="19"/>
      <c r="P5579" s="19"/>
      <c r="AL5579" s="19"/>
    </row>
    <row r="5580" spans="1:38" s="11" customFormat="1" x14ac:dyDescent="0.25">
      <c r="A5580" s="3"/>
      <c r="F5580" s="19"/>
      <c r="G5580" s="19"/>
      <c r="N5580" s="19"/>
      <c r="P5580" s="19"/>
      <c r="AL5580" s="19"/>
    </row>
    <row r="5581" spans="1:38" s="11" customFormat="1" x14ac:dyDescent="0.25">
      <c r="A5581" s="3"/>
      <c r="F5581" s="19"/>
      <c r="G5581" s="19"/>
      <c r="N5581" s="19"/>
      <c r="P5581" s="19"/>
      <c r="AL5581" s="19"/>
    </row>
    <row r="5582" spans="1:38" s="11" customFormat="1" x14ac:dyDescent="0.25">
      <c r="A5582" s="3"/>
      <c r="F5582" s="19"/>
      <c r="G5582" s="19"/>
      <c r="N5582" s="19"/>
      <c r="P5582" s="19"/>
      <c r="AL5582" s="19"/>
    </row>
    <row r="5583" spans="1:38" s="11" customFormat="1" x14ac:dyDescent="0.25">
      <c r="A5583" s="3"/>
      <c r="F5583" s="19"/>
      <c r="G5583" s="19"/>
      <c r="N5583" s="19"/>
      <c r="P5583" s="19"/>
      <c r="AL5583" s="19"/>
    </row>
    <row r="5584" spans="1:38" s="11" customFormat="1" x14ac:dyDescent="0.25">
      <c r="A5584" s="3"/>
      <c r="F5584" s="19"/>
      <c r="G5584" s="19"/>
      <c r="N5584" s="19"/>
      <c r="P5584" s="19"/>
      <c r="AL5584" s="19"/>
    </row>
    <row r="5585" spans="1:38" s="11" customFormat="1" x14ac:dyDescent="0.25">
      <c r="A5585" s="3"/>
      <c r="F5585" s="19"/>
      <c r="G5585" s="19"/>
      <c r="N5585" s="19"/>
      <c r="P5585" s="19"/>
      <c r="AL5585" s="19"/>
    </row>
    <row r="5586" spans="1:38" s="11" customFormat="1" x14ac:dyDescent="0.25">
      <c r="A5586" s="3"/>
      <c r="F5586" s="19"/>
      <c r="G5586" s="19"/>
      <c r="N5586" s="19"/>
      <c r="P5586" s="19"/>
      <c r="AL5586" s="19"/>
    </row>
    <row r="5587" spans="1:38" s="11" customFormat="1" x14ac:dyDescent="0.25">
      <c r="A5587" s="3"/>
      <c r="F5587" s="19"/>
      <c r="G5587" s="19"/>
      <c r="N5587" s="19"/>
      <c r="P5587" s="19"/>
      <c r="AL5587" s="19"/>
    </row>
    <row r="5588" spans="1:38" s="11" customFormat="1" x14ac:dyDescent="0.25">
      <c r="A5588" s="3"/>
      <c r="F5588" s="19"/>
      <c r="G5588" s="19"/>
      <c r="N5588" s="19"/>
      <c r="P5588" s="19"/>
      <c r="AL5588" s="19"/>
    </row>
    <row r="5589" spans="1:38" s="11" customFormat="1" x14ac:dyDescent="0.25">
      <c r="A5589" s="3"/>
      <c r="F5589" s="19"/>
      <c r="G5589" s="19"/>
      <c r="N5589" s="19"/>
      <c r="P5589" s="19"/>
      <c r="AL5589" s="19"/>
    </row>
    <row r="5590" spans="1:38" s="11" customFormat="1" x14ac:dyDescent="0.25">
      <c r="A5590" s="3"/>
      <c r="F5590" s="19"/>
      <c r="G5590" s="19"/>
      <c r="N5590" s="19"/>
      <c r="P5590" s="19"/>
      <c r="AL5590" s="19"/>
    </row>
    <row r="5591" spans="1:38" s="11" customFormat="1" x14ac:dyDescent="0.25">
      <c r="A5591" s="3"/>
      <c r="F5591" s="19"/>
      <c r="G5591" s="19"/>
      <c r="N5591" s="19"/>
      <c r="P5591" s="19"/>
      <c r="AL5591" s="19"/>
    </row>
    <row r="5592" spans="1:38" s="11" customFormat="1" x14ac:dyDescent="0.25">
      <c r="A5592" s="3"/>
      <c r="F5592" s="19"/>
      <c r="G5592" s="19"/>
      <c r="N5592" s="19"/>
      <c r="P5592" s="19"/>
      <c r="AL5592" s="19"/>
    </row>
    <row r="5593" spans="1:38" s="11" customFormat="1" x14ac:dyDescent="0.25">
      <c r="A5593" s="3"/>
      <c r="F5593" s="19"/>
      <c r="G5593" s="19"/>
      <c r="N5593" s="19"/>
      <c r="P5593" s="19"/>
      <c r="AL5593" s="19"/>
    </row>
    <row r="5594" spans="1:38" s="11" customFormat="1" x14ac:dyDescent="0.25">
      <c r="A5594" s="3"/>
      <c r="F5594" s="19"/>
      <c r="G5594" s="19"/>
      <c r="N5594" s="19"/>
      <c r="P5594" s="19"/>
      <c r="AL5594" s="19"/>
    </row>
    <row r="5595" spans="1:38" s="11" customFormat="1" x14ac:dyDescent="0.25">
      <c r="A5595" s="3"/>
      <c r="F5595" s="19"/>
      <c r="G5595" s="19"/>
      <c r="N5595" s="19"/>
      <c r="P5595" s="19"/>
      <c r="AL5595" s="19"/>
    </row>
    <row r="5596" spans="1:38" s="11" customFormat="1" x14ac:dyDescent="0.25">
      <c r="A5596" s="3"/>
      <c r="F5596" s="19"/>
      <c r="G5596" s="19"/>
      <c r="N5596" s="19"/>
      <c r="P5596" s="19"/>
      <c r="AL5596" s="19"/>
    </row>
    <row r="5597" spans="1:38" s="11" customFormat="1" x14ac:dyDescent="0.25">
      <c r="A5597" s="3"/>
      <c r="F5597" s="19"/>
      <c r="G5597" s="19"/>
      <c r="N5597" s="19"/>
      <c r="P5597" s="19"/>
      <c r="AL5597" s="19"/>
    </row>
    <row r="5598" spans="1:38" s="11" customFormat="1" x14ac:dyDescent="0.25">
      <c r="A5598" s="3"/>
      <c r="F5598" s="19"/>
      <c r="G5598" s="19"/>
      <c r="N5598" s="19"/>
      <c r="P5598" s="19"/>
      <c r="AL5598" s="19"/>
    </row>
    <row r="5599" spans="1:38" s="11" customFormat="1" x14ac:dyDescent="0.25">
      <c r="A5599" s="3"/>
      <c r="F5599" s="19"/>
      <c r="G5599" s="19"/>
      <c r="N5599" s="19"/>
      <c r="P5599" s="19"/>
      <c r="AL5599" s="19"/>
    </row>
    <row r="5600" spans="1:38" s="11" customFormat="1" x14ac:dyDescent="0.25">
      <c r="A5600" s="3"/>
      <c r="F5600" s="19"/>
      <c r="G5600" s="19"/>
      <c r="N5600" s="19"/>
      <c r="P5600" s="19"/>
      <c r="AL5600" s="19"/>
    </row>
    <row r="5601" spans="1:38" s="11" customFormat="1" x14ac:dyDescent="0.25">
      <c r="A5601" s="3"/>
      <c r="F5601" s="19"/>
      <c r="G5601" s="19"/>
      <c r="N5601" s="19"/>
      <c r="P5601" s="19"/>
      <c r="AL5601" s="19"/>
    </row>
    <row r="5602" spans="1:38" s="11" customFormat="1" x14ac:dyDescent="0.25">
      <c r="A5602" s="3"/>
      <c r="F5602" s="19"/>
      <c r="G5602" s="19"/>
      <c r="N5602" s="19"/>
      <c r="P5602" s="19"/>
      <c r="AL5602" s="19"/>
    </row>
    <row r="5603" spans="1:38" s="11" customFormat="1" x14ac:dyDescent="0.25">
      <c r="A5603" s="3"/>
      <c r="F5603" s="19"/>
      <c r="G5603" s="19"/>
      <c r="N5603" s="19"/>
      <c r="P5603" s="19"/>
      <c r="AL5603" s="19"/>
    </row>
    <row r="5604" spans="1:38" s="11" customFormat="1" x14ac:dyDescent="0.25">
      <c r="A5604" s="3"/>
      <c r="F5604" s="19"/>
      <c r="G5604" s="19"/>
      <c r="N5604" s="19"/>
      <c r="P5604" s="19"/>
      <c r="AL5604" s="19"/>
    </row>
    <row r="5605" spans="1:38" s="11" customFormat="1" x14ac:dyDescent="0.25">
      <c r="A5605" s="3"/>
      <c r="F5605" s="19"/>
      <c r="G5605" s="19"/>
      <c r="N5605" s="19"/>
      <c r="P5605" s="19"/>
      <c r="AL5605" s="19"/>
    </row>
    <row r="5606" spans="1:38" s="11" customFormat="1" x14ac:dyDescent="0.25">
      <c r="A5606" s="3"/>
      <c r="F5606" s="19"/>
      <c r="G5606" s="19"/>
      <c r="N5606" s="19"/>
      <c r="P5606" s="19"/>
      <c r="AL5606" s="19"/>
    </row>
    <row r="5607" spans="1:38" s="11" customFormat="1" x14ac:dyDescent="0.25">
      <c r="A5607" s="3"/>
      <c r="F5607" s="19"/>
      <c r="G5607" s="19"/>
      <c r="N5607" s="19"/>
      <c r="P5607" s="19"/>
      <c r="AL5607" s="19"/>
    </row>
    <row r="5608" spans="1:38" s="11" customFormat="1" x14ac:dyDescent="0.25">
      <c r="A5608" s="3"/>
      <c r="F5608" s="19"/>
      <c r="G5608" s="19"/>
      <c r="N5608" s="19"/>
      <c r="P5608" s="19"/>
      <c r="AL5608" s="19"/>
    </row>
    <row r="5609" spans="1:38" s="11" customFormat="1" x14ac:dyDescent="0.25">
      <c r="A5609" s="3"/>
      <c r="F5609" s="19"/>
      <c r="G5609" s="19"/>
      <c r="N5609" s="19"/>
      <c r="P5609" s="19"/>
      <c r="AL5609" s="19"/>
    </row>
    <row r="5610" spans="1:38" s="11" customFormat="1" x14ac:dyDescent="0.25">
      <c r="A5610" s="3"/>
      <c r="F5610" s="19"/>
      <c r="G5610" s="19"/>
      <c r="N5610" s="19"/>
      <c r="P5610" s="19"/>
      <c r="AL5610" s="19"/>
    </row>
    <row r="5611" spans="1:38" s="11" customFormat="1" x14ac:dyDescent="0.25">
      <c r="A5611" s="3"/>
      <c r="F5611" s="19"/>
      <c r="G5611" s="19"/>
      <c r="N5611" s="19"/>
      <c r="P5611" s="19"/>
      <c r="AL5611" s="19"/>
    </row>
    <row r="5612" spans="1:38" s="11" customFormat="1" x14ac:dyDescent="0.25">
      <c r="A5612" s="3"/>
      <c r="F5612" s="19"/>
      <c r="G5612" s="19"/>
      <c r="N5612" s="19"/>
      <c r="P5612" s="19"/>
      <c r="AL5612" s="19"/>
    </row>
    <row r="5613" spans="1:38" s="11" customFormat="1" x14ac:dyDescent="0.25">
      <c r="A5613" s="3"/>
      <c r="F5613" s="19"/>
      <c r="G5613" s="19"/>
      <c r="N5613" s="19"/>
      <c r="P5613" s="19"/>
      <c r="AL5613" s="19"/>
    </row>
    <row r="5614" spans="1:38" s="11" customFormat="1" x14ac:dyDescent="0.25">
      <c r="A5614" s="3"/>
      <c r="F5614" s="19"/>
      <c r="G5614" s="19"/>
      <c r="N5614" s="19"/>
      <c r="P5614" s="19"/>
      <c r="AL5614" s="19"/>
    </row>
    <row r="5615" spans="1:38" s="11" customFormat="1" x14ac:dyDescent="0.25">
      <c r="A5615" s="3"/>
      <c r="F5615" s="19"/>
      <c r="G5615" s="19"/>
      <c r="N5615" s="19"/>
      <c r="P5615" s="19"/>
      <c r="AL5615" s="19"/>
    </row>
    <row r="5616" spans="1:38" s="11" customFormat="1" x14ac:dyDescent="0.25">
      <c r="A5616" s="3"/>
      <c r="F5616" s="19"/>
      <c r="G5616" s="19"/>
      <c r="N5616" s="19"/>
      <c r="P5616" s="19"/>
      <c r="AL5616" s="19"/>
    </row>
    <row r="5617" spans="1:38" s="11" customFormat="1" x14ac:dyDescent="0.25">
      <c r="A5617" s="3"/>
      <c r="F5617" s="19"/>
      <c r="G5617" s="19"/>
      <c r="N5617" s="19"/>
      <c r="P5617" s="19"/>
      <c r="AL5617" s="19"/>
    </row>
    <row r="5618" spans="1:38" s="11" customFormat="1" x14ac:dyDescent="0.25">
      <c r="A5618" s="3"/>
      <c r="F5618" s="19"/>
      <c r="G5618" s="19"/>
      <c r="N5618" s="19"/>
      <c r="P5618" s="19"/>
      <c r="AL5618" s="19"/>
    </row>
    <row r="5619" spans="1:38" s="11" customFormat="1" x14ac:dyDescent="0.25">
      <c r="A5619" s="3"/>
      <c r="F5619" s="19"/>
      <c r="G5619" s="19"/>
      <c r="N5619" s="19"/>
      <c r="P5619" s="19"/>
      <c r="AL5619" s="19"/>
    </row>
    <row r="5620" spans="1:38" s="11" customFormat="1" x14ac:dyDescent="0.25">
      <c r="A5620" s="3"/>
      <c r="F5620" s="19"/>
      <c r="G5620" s="19"/>
      <c r="N5620" s="19"/>
      <c r="P5620" s="19"/>
      <c r="AL5620" s="19"/>
    </row>
    <row r="5621" spans="1:38" s="11" customFormat="1" x14ac:dyDescent="0.25">
      <c r="A5621" s="3"/>
      <c r="F5621" s="19"/>
      <c r="G5621" s="19"/>
      <c r="N5621" s="19"/>
      <c r="P5621" s="19"/>
      <c r="AL5621" s="19"/>
    </row>
    <row r="5622" spans="1:38" s="11" customFormat="1" x14ac:dyDescent="0.25">
      <c r="A5622" s="3"/>
      <c r="F5622" s="19"/>
      <c r="G5622" s="19"/>
      <c r="N5622" s="19"/>
      <c r="P5622" s="19"/>
      <c r="AL5622" s="19"/>
    </row>
    <row r="5623" spans="1:38" s="11" customFormat="1" x14ac:dyDescent="0.25">
      <c r="A5623" s="3"/>
      <c r="F5623" s="19"/>
      <c r="G5623" s="19"/>
      <c r="N5623" s="19"/>
      <c r="P5623" s="19"/>
      <c r="AL5623" s="19"/>
    </row>
    <row r="5624" spans="1:38" s="11" customFormat="1" x14ac:dyDescent="0.25">
      <c r="A5624" s="3"/>
      <c r="F5624" s="19"/>
      <c r="G5624" s="19"/>
      <c r="N5624" s="19"/>
      <c r="P5624" s="19"/>
      <c r="AL5624" s="19"/>
    </row>
    <row r="5625" spans="1:38" s="11" customFormat="1" x14ac:dyDescent="0.25">
      <c r="A5625" s="3"/>
      <c r="F5625" s="19"/>
      <c r="G5625" s="19"/>
      <c r="N5625" s="19"/>
      <c r="P5625" s="19"/>
      <c r="AL5625" s="19"/>
    </row>
    <row r="5626" spans="1:38" s="11" customFormat="1" x14ac:dyDescent="0.25">
      <c r="A5626" s="3"/>
      <c r="F5626" s="19"/>
      <c r="G5626" s="19"/>
      <c r="N5626" s="19"/>
      <c r="P5626" s="19"/>
      <c r="AL5626" s="19"/>
    </row>
    <row r="5627" spans="1:38" s="11" customFormat="1" x14ac:dyDescent="0.25">
      <c r="A5627" s="3"/>
      <c r="F5627" s="19"/>
      <c r="G5627" s="19"/>
      <c r="N5627" s="19"/>
      <c r="P5627" s="19"/>
      <c r="AL5627" s="19"/>
    </row>
    <row r="5628" spans="1:38" s="11" customFormat="1" x14ac:dyDescent="0.25">
      <c r="A5628" s="3"/>
      <c r="F5628" s="19"/>
      <c r="G5628" s="19"/>
      <c r="N5628" s="19"/>
      <c r="P5628" s="19"/>
      <c r="AL5628" s="19"/>
    </row>
    <row r="5629" spans="1:38" s="11" customFormat="1" x14ac:dyDescent="0.25">
      <c r="A5629" s="3"/>
      <c r="F5629" s="19"/>
      <c r="G5629" s="19"/>
      <c r="N5629" s="19"/>
      <c r="P5629" s="19"/>
      <c r="AL5629" s="19"/>
    </row>
    <row r="5630" spans="1:38" s="11" customFormat="1" x14ac:dyDescent="0.25">
      <c r="A5630" s="3"/>
      <c r="F5630" s="19"/>
      <c r="G5630" s="19"/>
      <c r="N5630" s="19"/>
      <c r="P5630" s="19"/>
      <c r="AL5630" s="19"/>
    </row>
    <row r="5631" spans="1:38" s="11" customFormat="1" x14ac:dyDescent="0.25">
      <c r="A5631" s="3"/>
      <c r="F5631" s="19"/>
      <c r="G5631" s="19"/>
      <c r="N5631" s="19"/>
      <c r="P5631" s="19"/>
      <c r="AL5631" s="19"/>
    </row>
    <row r="5632" spans="1:38" s="11" customFormat="1" x14ac:dyDescent="0.25">
      <c r="A5632" s="3"/>
      <c r="F5632" s="19"/>
      <c r="G5632" s="19"/>
      <c r="N5632" s="19"/>
      <c r="P5632" s="19"/>
      <c r="AL5632" s="19"/>
    </row>
    <row r="5633" spans="1:38" s="11" customFormat="1" x14ac:dyDescent="0.25">
      <c r="A5633" s="3"/>
      <c r="F5633" s="19"/>
      <c r="G5633" s="19"/>
      <c r="N5633" s="19"/>
      <c r="P5633" s="19"/>
      <c r="AL5633" s="19"/>
    </row>
    <row r="5634" spans="1:38" s="11" customFormat="1" x14ac:dyDescent="0.25">
      <c r="A5634" s="3"/>
      <c r="F5634" s="19"/>
      <c r="G5634" s="19"/>
      <c r="N5634" s="19"/>
      <c r="P5634" s="19"/>
      <c r="AL5634" s="19"/>
    </row>
    <row r="5635" spans="1:38" s="11" customFormat="1" x14ac:dyDescent="0.25">
      <c r="A5635" s="3"/>
      <c r="F5635" s="19"/>
      <c r="G5635" s="19"/>
      <c r="N5635" s="19"/>
      <c r="P5635" s="19"/>
      <c r="AL5635" s="19"/>
    </row>
    <row r="5636" spans="1:38" s="11" customFormat="1" x14ac:dyDescent="0.25">
      <c r="A5636" s="3"/>
      <c r="F5636" s="19"/>
      <c r="G5636" s="19"/>
      <c r="N5636" s="19"/>
      <c r="P5636" s="19"/>
      <c r="AL5636" s="19"/>
    </row>
    <row r="5637" spans="1:38" s="11" customFormat="1" x14ac:dyDescent="0.25">
      <c r="A5637" s="3"/>
      <c r="F5637" s="19"/>
      <c r="G5637" s="19"/>
      <c r="N5637" s="19"/>
      <c r="P5637" s="19"/>
      <c r="AL5637" s="19"/>
    </row>
    <row r="5638" spans="1:38" s="11" customFormat="1" x14ac:dyDescent="0.25">
      <c r="A5638" s="3"/>
      <c r="F5638" s="19"/>
      <c r="G5638" s="19"/>
      <c r="N5638" s="19"/>
      <c r="P5638" s="19"/>
      <c r="AL5638" s="19"/>
    </row>
    <row r="5639" spans="1:38" s="11" customFormat="1" x14ac:dyDescent="0.25">
      <c r="A5639" s="3"/>
      <c r="F5639" s="19"/>
      <c r="G5639" s="19"/>
      <c r="N5639" s="19"/>
      <c r="P5639" s="19"/>
      <c r="AL5639" s="19"/>
    </row>
    <row r="5640" spans="1:38" s="11" customFormat="1" x14ac:dyDescent="0.25">
      <c r="A5640" s="3"/>
      <c r="F5640" s="19"/>
      <c r="G5640" s="19"/>
      <c r="N5640" s="19"/>
      <c r="P5640" s="19"/>
      <c r="AL5640" s="19"/>
    </row>
    <row r="5641" spans="1:38" s="11" customFormat="1" x14ac:dyDescent="0.25">
      <c r="A5641" s="3"/>
      <c r="F5641" s="19"/>
      <c r="G5641" s="19"/>
      <c r="N5641" s="19"/>
      <c r="P5641" s="19"/>
      <c r="AL5641" s="19"/>
    </row>
    <row r="5642" spans="1:38" s="11" customFormat="1" x14ac:dyDescent="0.25">
      <c r="A5642" s="3"/>
      <c r="F5642" s="19"/>
      <c r="G5642" s="19"/>
      <c r="N5642" s="19"/>
      <c r="P5642" s="19"/>
      <c r="AL5642" s="19"/>
    </row>
    <row r="5643" spans="1:38" s="11" customFormat="1" x14ac:dyDescent="0.25">
      <c r="A5643" s="3"/>
      <c r="F5643" s="19"/>
      <c r="G5643" s="19"/>
      <c r="N5643" s="19"/>
      <c r="P5643" s="19"/>
      <c r="AL5643" s="19"/>
    </row>
    <row r="5644" spans="1:38" s="11" customFormat="1" x14ac:dyDescent="0.25">
      <c r="A5644" s="3"/>
      <c r="F5644" s="19"/>
      <c r="G5644" s="19"/>
      <c r="N5644" s="19"/>
      <c r="P5644" s="19"/>
      <c r="AL5644" s="19"/>
    </row>
    <row r="5645" spans="1:38" s="11" customFormat="1" x14ac:dyDescent="0.25">
      <c r="A5645" s="3"/>
      <c r="F5645" s="19"/>
      <c r="G5645" s="19"/>
      <c r="N5645" s="19"/>
      <c r="P5645" s="19"/>
      <c r="AL5645" s="19"/>
    </row>
    <row r="5646" spans="1:38" s="11" customFormat="1" x14ac:dyDescent="0.25">
      <c r="A5646" s="3"/>
      <c r="F5646" s="19"/>
      <c r="G5646" s="19"/>
      <c r="N5646" s="19"/>
      <c r="P5646" s="19"/>
      <c r="AL5646" s="19"/>
    </row>
    <row r="5647" spans="1:38" s="11" customFormat="1" x14ac:dyDescent="0.25">
      <c r="A5647" s="3"/>
      <c r="F5647" s="19"/>
      <c r="G5647" s="19"/>
      <c r="N5647" s="19"/>
      <c r="P5647" s="19"/>
      <c r="AL5647" s="19"/>
    </row>
    <row r="5648" spans="1:38" s="11" customFormat="1" x14ac:dyDescent="0.25">
      <c r="A5648" s="3"/>
      <c r="F5648" s="19"/>
      <c r="G5648" s="19"/>
      <c r="N5648" s="19"/>
      <c r="P5648" s="19"/>
      <c r="AL5648" s="19"/>
    </row>
    <row r="5649" spans="1:38" s="11" customFormat="1" x14ac:dyDescent="0.25">
      <c r="A5649" s="3"/>
      <c r="F5649" s="19"/>
      <c r="G5649" s="19"/>
      <c r="N5649" s="19"/>
      <c r="P5649" s="19"/>
      <c r="AL5649" s="19"/>
    </row>
    <row r="5650" spans="1:38" s="11" customFormat="1" x14ac:dyDescent="0.25">
      <c r="A5650" s="3"/>
      <c r="F5650" s="19"/>
      <c r="G5650" s="19"/>
      <c r="N5650" s="19"/>
      <c r="P5650" s="19"/>
      <c r="AL5650" s="19"/>
    </row>
    <row r="5651" spans="1:38" s="11" customFormat="1" x14ac:dyDescent="0.25">
      <c r="A5651" s="3"/>
      <c r="F5651" s="19"/>
      <c r="G5651" s="19"/>
      <c r="N5651" s="19"/>
      <c r="P5651" s="19"/>
      <c r="AL5651" s="19"/>
    </row>
    <row r="5652" spans="1:38" s="11" customFormat="1" x14ac:dyDescent="0.25">
      <c r="A5652" s="3"/>
      <c r="F5652" s="19"/>
      <c r="G5652" s="19"/>
      <c r="N5652" s="19"/>
      <c r="P5652" s="19"/>
      <c r="AL5652" s="19"/>
    </row>
    <row r="5653" spans="1:38" s="11" customFormat="1" x14ac:dyDescent="0.25">
      <c r="A5653" s="3"/>
      <c r="F5653" s="19"/>
      <c r="G5653" s="19"/>
      <c r="N5653" s="19"/>
      <c r="P5653" s="19"/>
      <c r="AL5653" s="19"/>
    </row>
    <row r="5654" spans="1:38" s="11" customFormat="1" x14ac:dyDescent="0.25">
      <c r="A5654" s="3"/>
      <c r="F5654" s="19"/>
      <c r="G5654" s="19"/>
      <c r="N5654" s="19"/>
      <c r="P5654" s="19"/>
      <c r="AL5654" s="19"/>
    </row>
    <row r="5655" spans="1:38" s="11" customFormat="1" x14ac:dyDescent="0.25">
      <c r="A5655" s="3"/>
      <c r="F5655" s="19"/>
      <c r="G5655" s="19"/>
      <c r="N5655" s="19"/>
      <c r="P5655" s="19"/>
      <c r="AL5655" s="19"/>
    </row>
    <row r="5656" spans="1:38" s="11" customFormat="1" x14ac:dyDescent="0.25">
      <c r="A5656" s="3"/>
      <c r="F5656" s="19"/>
      <c r="G5656" s="19"/>
      <c r="N5656" s="19"/>
      <c r="P5656" s="19"/>
      <c r="AL5656" s="19"/>
    </row>
    <row r="5657" spans="1:38" s="11" customFormat="1" x14ac:dyDescent="0.25">
      <c r="A5657" s="3"/>
      <c r="F5657" s="19"/>
      <c r="G5657" s="19"/>
      <c r="N5657" s="19"/>
      <c r="P5657" s="19"/>
      <c r="AL5657" s="19"/>
    </row>
    <row r="5658" spans="1:38" s="11" customFormat="1" x14ac:dyDescent="0.25">
      <c r="A5658" s="3"/>
      <c r="F5658" s="19"/>
      <c r="G5658" s="19"/>
      <c r="N5658" s="19"/>
      <c r="P5658" s="19"/>
      <c r="AL5658" s="19"/>
    </row>
    <row r="5659" spans="1:38" s="11" customFormat="1" x14ac:dyDescent="0.25">
      <c r="A5659" s="3"/>
      <c r="F5659" s="19"/>
      <c r="G5659" s="19"/>
      <c r="N5659" s="19"/>
      <c r="P5659" s="19"/>
      <c r="AL5659" s="19"/>
    </row>
    <row r="5660" spans="1:38" s="11" customFormat="1" x14ac:dyDescent="0.25">
      <c r="A5660" s="3"/>
      <c r="F5660" s="19"/>
      <c r="G5660" s="19"/>
      <c r="N5660" s="19"/>
      <c r="P5660" s="19"/>
      <c r="AL5660" s="19"/>
    </row>
    <row r="5661" spans="1:38" s="11" customFormat="1" x14ac:dyDescent="0.25">
      <c r="A5661" s="3"/>
      <c r="F5661" s="19"/>
      <c r="G5661" s="19"/>
      <c r="N5661" s="19"/>
      <c r="P5661" s="19"/>
      <c r="AL5661" s="19"/>
    </row>
    <row r="5662" spans="1:38" s="11" customFormat="1" x14ac:dyDescent="0.25">
      <c r="A5662" s="3"/>
      <c r="F5662" s="19"/>
      <c r="G5662" s="19"/>
      <c r="N5662" s="19"/>
      <c r="P5662" s="19"/>
      <c r="AL5662" s="19"/>
    </row>
    <row r="5663" spans="1:38" s="11" customFormat="1" x14ac:dyDescent="0.25">
      <c r="A5663" s="3"/>
      <c r="F5663" s="19"/>
      <c r="G5663" s="19"/>
      <c r="N5663" s="19"/>
      <c r="P5663" s="19"/>
      <c r="AL5663" s="19"/>
    </row>
    <row r="5664" spans="1:38" s="11" customFormat="1" x14ac:dyDescent="0.25">
      <c r="A5664" s="3"/>
      <c r="F5664" s="19"/>
      <c r="G5664" s="19"/>
      <c r="N5664" s="19"/>
      <c r="P5664" s="19"/>
      <c r="AL5664" s="19"/>
    </row>
    <row r="5665" spans="1:38" s="11" customFormat="1" x14ac:dyDescent="0.25">
      <c r="A5665" s="3"/>
      <c r="F5665" s="19"/>
      <c r="G5665" s="19"/>
      <c r="N5665" s="19"/>
      <c r="P5665" s="19"/>
      <c r="AL5665" s="19"/>
    </row>
    <row r="5666" spans="1:38" s="11" customFormat="1" x14ac:dyDescent="0.25">
      <c r="A5666" s="3"/>
      <c r="F5666" s="19"/>
      <c r="G5666" s="19"/>
      <c r="N5666" s="19"/>
      <c r="P5666" s="19"/>
      <c r="AL5666" s="19"/>
    </row>
    <row r="5667" spans="1:38" s="11" customFormat="1" x14ac:dyDescent="0.25">
      <c r="A5667" s="3"/>
      <c r="F5667" s="19"/>
      <c r="G5667" s="19"/>
      <c r="N5667" s="19"/>
      <c r="P5667" s="19"/>
      <c r="AL5667" s="19"/>
    </row>
    <row r="5668" spans="1:38" s="11" customFormat="1" x14ac:dyDescent="0.25">
      <c r="A5668" s="3"/>
      <c r="F5668" s="19"/>
      <c r="G5668" s="19"/>
      <c r="N5668" s="19"/>
      <c r="P5668" s="19"/>
      <c r="AL5668" s="19"/>
    </row>
    <row r="5669" spans="1:38" s="11" customFormat="1" x14ac:dyDescent="0.25">
      <c r="A5669" s="3"/>
      <c r="F5669" s="19"/>
      <c r="G5669" s="19"/>
      <c r="N5669" s="19"/>
      <c r="P5669" s="19"/>
      <c r="AL5669" s="19"/>
    </row>
    <row r="5670" spans="1:38" s="11" customFormat="1" x14ac:dyDescent="0.25">
      <c r="A5670" s="3"/>
      <c r="F5670" s="19"/>
      <c r="G5670" s="19"/>
      <c r="N5670" s="19"/>
      <c r="P5670" s="19"/>
      <c r="AL5670" s="19"/>
    </row>
    <row r="5671" spans="1:38" s="11" customFormat="1" x14ac:dyDescent="0.25">
      <c r="A5671" s="3"/>
      <c r="F5671" s="19"/>
      <c r="G5671" s="19"/>
      <c r="N5671" s="19"/>
      <c r="P5671" s="19"/>
      <c r="AL5671" s="19"/>
    </row>
    <row r="5672" spans="1:38" s="11" customFormat="1" x14ac:dyDescent="0.25">
      <c r="A5672" s="3"/>
      <c r="F5672" s="19"/>
      <c r="G5672" s="19"/>
      <c r="N5672" s="19"/>
      <c r="P5672" s="19"/>
      <c r="AL5672" s="19"/>
    </row>
    <row r="5673" spans="1:38" s="11" customFormat="1" x14ac:dyDescent="0.25">
      <c r="A5673" s="3"/>
      <c r="F5673" s="19"/>
      <c r="G5673" s="19"/>
      <c r="N5673" s="19"/>
      <c r="P5673" s="19"/>
      <c r="AL5673" s="19"/>
    </row>
    <row r="5674" spans="1:38" s="11" customFormat="1" x14ac:dyDescent="0.25">
      <c r="A5674" s="3"/>
      <c r="F5674" s="19"/>
      <c r="G5674" s="19"/>
      <c r="N5674" s="19"/>
      <c r="P5674" s="19"/>
      <c r="AL5674" s="19"/>
    </row>
    <row r="5675" spans="1:38" s="11" customFormat="1" x14ac:dyDescent="0.25">
      <c r="A5675" s="3"/>
      <c r="F5675" s="19"/>
      <c r="G5675" s="19"/>
      <c r="N5675" s="19"/>
      <c r="P5675" s="19"/>
      <c r="AL5675" s="19"/>
    </row>
    <row r="5676" spans="1:38" s="11" customFormat="1" x14ac:dyDescent="0.25">
      <c r="A5676" s="3"/>
      <c r="F5676" s="19"/>
      <c r="G5676" s="19"/>
      <c r="N5676" s="19"/>
      <c r="P5676" s="19"/>
      <c r="AL5676" s="19"/>
    </row>
    <row r="5677" spans="1:38" s="11" customFormat="1" x14ac:dyDescent="0.25">
      <c r="A5677" s="3"/>
      <c r="F5677" s="19"/>
      <c r="G5677" s="19"/>
      <c r="N5677" s="19"/>
      <c r="P5677" s="19"/>
      <c r="AL5677" s="19"/>
    </row>
    <row r="5678" spans="1:38" s="11" customFormat="1" x14ac:dyDescent="0.25">
      <c r="A5678" s="3"/>
      <c r="F5678" s="19"/>
      <c r="G5678" s="19"/>
      <c r="N5678" s="19"/>
      <c r="P5678" s="19"/>
      <c r="AL5678" s="19"/>
    </row>
    <row r="5679" spans="1:38" s="11" customFormat="1" x14ac:dyDescent="0.25">
      <c r="A5679" s="3"/>
      <c r="F5679" s="19"/>
      <c r="G5679" s="19"/>
      <c r="N5679" s="19"/>
      <c r="P5679" s="19"/>
      <c r="AL5679" s="19"/>
    </row>
    <row r="5680" spans="1:38" s="11" customFormat="1" x14ac:dyDescent="0.25">
      <c r="A5680" s="3"/>
      <c r="F5680" s="19"/>
      <c r="G5680" s="19"/>
      <c r="N5680" s="19"/>
      <c r="P5680" s="19"/>
      <c r="AL5680" s="19"/>
    </row>
    <row r="5681" spans="1:38" s="11" customFormat="1" x14ac:dyDescent="0.25">
      <c r="A5681" s="3"/>
      <c r="F5681" s="19"/>
      <c r="G5681" s="19"/>
      <c r="N5681" s="19"/>
      <c r="P5681" s="19"/>
      <c r="AL5681" s="19"/>
    </row>
    <row r="5682" spans="1:38" s="11" customFormat="1" x14ac:dyDescent="0.25">
      <c r="A5682" s="3"/>
      <c r="F5682" s="19"/>
      <c r="G5682" s="19"/>
      <c r="N5682" s="19"/>
      <c r="P5682" s="19"/>
      <c r="AL5682" s="19"/>
    </row>
    <row r="5683" spans="1:38" s="11" customFormat="1" x14ac:dyDescent="0.25">
      <c r="A5683" s="3"/>
      <c r="F5683" s="19"/>
      <c r="G5683" s="19"/>
      <c r="N5683" s="19"/>
      <c r="P5683" s="19"/>
      <c r="AL5683" s="19"/>
    </row>
    <row r="5684" spans="1:38" s="11" customFormat="1" x14ac:dyDescent="0.25">
      <c r="A5684" s="3"/>
      <c r="F5684" s="19"/>
      <c r="G5684" s="19"/>
      <c r="N5684" s="19"/>
      <c r="P5684" s="19"/>
      <c r="AL5684" s="19"/>
    </row>
    <row r="5685" spans="1:38" s="11" customFormat="1" x14ac:dyDescent="0.25">
      <c r="A5685" s="3"/>
      <c r="F5685" s="19"/>
      <c r="G5685" s="19"/>
      <c r="N5685" s="19"/>
      <c r="P5685" s="19"/>
      <c r="AL5685" s="19"/>
    </row>
    <row r="5686" spans="1:38" s="11" customFormat="1" x14ac:dyDescent="0.25">
      <c r="A5686" s="3"/>
      <c r="F5686" s="19"/>
      <c r="G5686" s="19"/>
      <c r="N5686" s="19"/>
      <c r="P5686" s="19"/>
      <c r="AL5686" s="19"/>
    </row>
    <row r="5687" spans="1:38" s="11" customFormat="1" x14ac:dyDescent="0.25">
      <c r="A5687" s="3"/>
      <c r="F5687" s="19"/>
      <c r="G5687" s="19"/>
      <c r="N5687" s="19"/>
      <c r="P5687" s="19"/>
      <c r="AL5687" s="19"/>
    </row>
    <row r="5688" spans="1:38" s="11" customFormat="1" x14ac:dyDescent="0.25">
      <c r="A5688" s="3"/>
      <c r="F5688" s="19"/>
      <c r="G5688" s="19"/>
      <c r="N5688" s="19"/>
      <c r="P5688" s="19"/>
      <c r="AL5688" s="19"/>
    </row>
    <row r="5689" spans="1:38" s="11" customFormat="1" x14ac:dyDescent="0.25">
      <c r="A5689" s="3"/>
      <c r="F5689" s="19"/>
      <c r="G5689" s="19"/>
      <c r="N5689" s="19"/>
      <c r="P5689" s="19"/>
      <c r="AL5689" s="19"/>
    </row>
    <row r="5690" spans="1:38" s="11" customFormat="1" x14ac:dyDescent="0.25">
      <c r="A5690" s="3"/>
      <c r="F5690" s="19"/>
      <c r="G5690" s="19"/>
      <c r="N5690" s="19"/>
      <c r="P5690" s="19"/>
      <c r="AL5690" s="19"/>
    </row>
    <row r="5691" spans="1:38" s="11" customFormat="1" x14ac:dyDescent="0.25">
      <c r="A5691" s="3"/>
      <c r="F5691" s="19"/>
      <c r="G5691" s="19"/>
      <c r="N5691" s="19"/>
      <c r="P5691" s="19"/>
      <c r="AL5691" s="19"/>
    </row>
    <row r="5692" spans="1:38" s="11" customFormat="1" x14ac:dyDescent="0.25">
      <c r="A5692" s="3"/>
      <c r="F5692" s="19"/>
      <c r="G5692" s="19"/>
      <c r="N5692" s="19"/>
      <c r="P5692" s="19"/>
      <c r="AL5692" s="19"/>
    </row>
    <row r="5693" spans="1:38" s="11" customFormat="1" x14ac:dyDescent="0.25">
      <c r="A5693" s="3"/>
      <c r="F5693" s="19"/>
      <c r="G5693" s="19"/>
      <c r="N5693" s="19"/>
      <c r="P5693" s="19"/>
      <c r="AL5693" s="19"/>
    </row>
    <row r="5694" spans="1:38" s="11" customFormat="1" x14ac:dyDescent="0.25">
      <c r="A5694" s="3"/>
      <c r="F5694" s="19"/>
      <c r="G5694" s="19"/>
      <c r="N5694" s="19"/>
      <c r="P5694" s="19"/>
      <c r="AL5694" s="19"/>
    </row>
    <row r="5695" spans="1:38" s="11" customFormat="1" x14ac:dyDescent="0.25">
      <c r="A5695" s="3"/>
      <c r="F5695" s="19"/>
      <c r="G5695" s="19"/>
      <c r="N5695" s="19"/>
      <c r="P5695" s="19"/>
      <c r="AL5695" s="19"/>
    </row>
    <row r="5696" spans="1:38" s="11" customFormat="1" x14ac:dyDescent="0.25">
      <c r="A5696" s="3"/>
      <c r="F5696" s="19"/>
      <c r="G5696" s="19"/>
      <c r="N5696" s="19"/>
      <c r="P5696" s="19"/>
      <c r="AL5696" s="19"/>
    </row>
    <row r="5697" spans="1:38" s="11" customFormat="1" x14ac:dyDescent="0.25">
      <c r="A5697" s="3"/>
      <c r="F5697" s="19"/>
      <c r="G5697" s="19"/>
      <c r="N5697" s="19"/>
      <c r="P5697" s="19"/>
      <c r="AL5697" s="19"/>
    </row>
    <row r="5698" spans="1:38" s="11" customFormat="1" x14ac:dyDescent="0.25">
      <c r="A5698" s="3"/>
      <c r="F5698" s="19"/>
      <c r="G5698" s="19"/>
      <c r="N5698" s="19"/>
      <c r="P5698" s="19"/>
      <c r="AL5698" s="19"/>
    </row>
    <row r="5699" spans="1:38" s="11" customFormat="1" x14ac:dyDescent="0.25">
      <c r="A5699" s="3"/>
      <c r="F5699" s="19"/>
      <c r="G5699" s="19"/>
      <c r="N5699" s="19"/>
      <c r="P5699" s="19"/>
      <c r="AL5699" s="19"/>
    </row>
    <row r="5700" spans="1:38" s="11" customFormat="1" x14ac:dyDescent="0.25">
      <c r="A5700" s="3"/>
      <c r="F5700" s="19"/>
      <c r="G5700" s="19"/>
      <c r="N5700" s="19"/>
      <c r="P5700" s="19"/>
      <c r="AL5700" s="19"/>
    </row>
    <row r="5701" spans="1:38" s="11" customFormat="1" x14ac:dyDescent="0.25">
      <c r="A5701" s="3"/>
      <c r="F5701" s="19"/>
      <c r="G5701" s="19"/>
      <c r="N5701" s="19"/>
      <c r="P5701" s="19"/>
      <c r="AL5701" s="19"/>
    </row>
    <row r="5702" spans="1:38" s="11" customFormat="1" x14ac:dyDescent="0.25">
      <c r="A5702" s="3"/>
      <c r="F5702" s="19"/>
      <c r="G5702" s="19"/>
      <c r="N5702" s="19"/>
      <c r="P5702" s="19"/>
      <c r="AL5702" s="19"/>
    </row>
    <row r="5703" spans="1:38" s="11" customFormat="1" x14ac:dyDescent="0.25">
      <c r="A5703" s="3"/>
      <c r="F5703" s="19"/>
      <c r="G5703" s="19"/>
      <c r="N5703" s="19"/>
      <c r="P5703" s="19"/>
      <c r="AL5703" s="19"/>
    </row>
    <row r="5704" spans="1:38" s="11" customFormat="1" x14ac:dyDescent="0.25">
      <c r="A5704" s="3"/>
      <c r="F5704" s="19"/>
      <c r="G5704" s="19"/>
      <c r="N5704" s="19"/>
      <c r="P5704" s="19"/>
      <c r="AL5704" s="19"/>
    </row>
    <row r="5705" spans="1:38" s="11" customFormat="1" x14ac:dyDescent="0.25">
      <c r="A5705" s="3"/>
      <c r="F5705" s="19"/>
      <c r="G5705" s="19"/>
      <c r="N5705" s="19"/>
      <c r="P5705" s="19"/>
      <c r="AL5705" s="19"/>
    </row>
    <row r="5706" spans="1:38" s="11" customFormat="1" x14ac:dyDescent="0.25">
      <c r="A5706" s="3"/>
      <c r="F5706" s="19"/>
      <c r="G5706" s="19"/>
      <c r="N5706" s="19"/>
      <c r="P5706" s="19"/>
      <c r="AL5706" s="19"/>
    </row>
    <row r="5707" spans="1:38" s="11" customFormat="1" x14ac:dyDescent="0.25">
      <c r="A5707" s="3"/>
      <c r="F5707" s="19"/>
      <c r="G5707" s="19"/>
      <c r="N5707" s="19"/>
      <c r="P5707" s="19"/>
      <c r="AL5707" s="19"/>
    </row>
    <row r="5708" spans="1:38" s="11" customFormat="1" x14ac:dyDescent="0.25">
      <c r="A5708" s="3"/>
      <c r="F5708" s="19"/>
      <c r="G5708" s="19"/>
      <c r="N5708" s="19"/>
      <c r="P5708" s="19"/>
      <c r="AL5708" s="19"/>
    </row>
    <row r="5709" spans="1:38" s="11" customFormat="1" x14ac:dyDescent="0.25">
      <c r="A5709" s="3"/>
      <c r="F5709" s="19"/>
      <c r="G5709" s="19"/>
      <c r="N5709" s="19"/>
      <c r="P5709" s="19"/>
      <c r="AL5709" s="19"/>
    </row>
    <row r="5710" spans="1:38" s="11" customFormat="1" x14ac:dyDescent="0.25">
      <c r="A5710" s="3"/>
      <c r="F5710" s="19"/>
      <c r="G5710" s="19"/>
      <c r="N5710" s="19"/>
      <c r="P5710" s="19"/>
      <c r="AL5710" s="19"/>
    </row>
    <row r="5711" spans="1:38" s="11" customFormat="1" x14ac:dyDescent="0.25">
      <c r="A5711" s="3"/>
      <c r="F5711" s="19"/>
      <c r="G5711" s="19"/>
      <c r="N5711" s="19"/>
      <c r="P5711" s="19"/>
      <c r="AL5711" s="19"/>
    </row>
    <row r="5712" spans="1:38" s="11" customFormat="1" x14ac:dyDescent="0.25">
      <c r="A5712" s="3"/>
      <c r="F5712" s="19"/>
      <c r="G5712" s="19"/>
      <c r="N5712" s="19"/>
      <c r="P5712" s="19"/>
      <c r="AL5712" s="19"/>
    </row>
    <row r="5713" spans="1:38" s="11" customFormat="1" x14ac:dyDescent="0.25">
      <c r="A5713" s="3"/>
      <c r="F5713" s="19"/>
      <c r="G5713" s="19"/>
      <c r="N5713" s="19"/>
      <c r="P5713" s="19"/>
      <c r="AL5713" s="19"/>
    </row>
    <row r="5714" spans="1:38" s="11" customFormat="1" x14ac:dyDescent="0.25">
      <c r="A5714" s="3"/>
      <c r="F5714" s="19"/>
      <c r="G5714" s="19"/>
      <c r="N5714" s="19"/>
      <c r="P5714" s="19"/>
      <c r="AL5714" s="19"/>
    </row>
    <row r="5715" spans="1:38" s="11" customFormat="1" x14ac:dyDescent="0.25">
      <c r="A5715" s="3"/>
      <c r="F5715" s="19"/>
      <c r="G5715" s="19"/>
      <c r="N5715" s="19"/>
      <c r="P5715" s="19"/>
      <c r="AL5715" s="19"/>
    </row>
    <row r="5716" spans="1:38" s="11" customFormat="1" x14ac:dyDescent="0.25">
      <c r="A5716" s="3"/>
      <c r="F5716" s="19"/>
      <c r="G5716" s="19"/>
      <c r="N5716" s="19"/>
      <c r="P5716" s="19"/>
      <c r="AL5716" s="19"/>
    </row>
    <row r="5717" spans="1:38" s="11" customFormat="1" x14ac:dyDescent="0.25">
      <c r="A5717" s="3"/>
      <c r="F5717" s="19"/>
      <c r="G5717" s="19"/>
      <c r="N5717" s="19"/>
      <c r="P5717" s="19"/>
      <c r="AL5717" s="19"/>
    </row>
    <row r="5718" spans="1:38" s="11" customFormat="1" x14ac:dyDescent="0.25">
      <c r="A5718" s="3"/>
      <c r="F5718" s="19"/>
      <c r="G5718" s="19"/>
      <c r="N5718" s="19"/>
      <c r="P5718" s="19"/>
      <c r="AL5718" s="19"/>
    </row>
    <row r="5719" spans="1:38" s="11" customFormat="1" x14ac:dyDescent="0.25">
      <c r="A5719" s="3"/>
      <c r="F5719" s="19"/>
      <c r="G5719" s="19"/>
      <c r="N5719" s="19"/>
      <c r="P5719" s="19"/>
      <c r="AL5719" s="19"/>
    </row>
    <row r="5720" spans="1:38" s="11" customFormat="1" x14ac:dyDescent="0.25">
      <c r="A5720" s="3"/>
      <c r="F5720" s="19"/>
      <c r="G5720" s="19"/>
      <c r="N5720" s="19"/>
      <c r="P5720" s="19"/>
      <c r="AL5720" s="19"/>
    </row>
    <row r="5721" spans="1:38" s="11" customFormat="1" x14ac:dyDescent="0.25">
      <c r="A5721" s="3"/>
      <c r="F5721" s="19"/>
      <c r="G5721" s="19"/>
      <c r="N5721" s="19"/>
      <c r="P5721" s="19"/>
      <c r="AL5721" s="19"/>
    </row>
    <row r="5722" spans="1:38" s="11" customFormat="1" x14ac:dyDescent="0.25">
      <c r="A5722" s="3"/>
      <c r="F5722" s="19"/>
      <c r="G5722" s="19"/>
      <c r="N5722" s="19"/>
      <c r="P5722" s="19"/>
      <c r="AL5722" s="19"/>
    </row>
    <row r="5723" spans="1:38" s="11" customFormat="1" x14ac:dyDescent="0.25">
      <c r="A5723" s="3"/>
      <c r="F5723" s="19"/>
      <c r="G5723" s="19"/>
      <c r="N5723" s="19"/>
      <c r="P5723" s="19"/>
      <c r="AL5723" s="19"/>
    </row>
    <row r="5724" spans="1:38" s="11" customFormat="1" x14ac:dyDescent="0.25">
      <c r="A5724" s="3"/>
      <c r="F5724" s="19"/>
      <c r="G5724" s="19"/>
      <c r="N5724" s="19"/>
      <c r="P5724" s="19"/>
      <c r="AL5724" s="19"/>
    </row>
    <row r="5725" spans="1:38" s="11" customFormat="1" x14ac:dyDescent="0.25">
      <c r="A5725" s="3"/>
      <c r="F5725" s="19"/>
      <c r="G5725" s="19"/>
      <c r="N5725" s="19"/>
      <c r="P5725" s="19"/>
      <c r="AL5725" s="19"/>
    </row>
    <row r="5726" spans="1:38" s="11" customFormat="1" x14ac:dyDescent="0.25">
      <c r="A5726" s="3"/>
      <c r="F5726" s="19"/>
      <c r="G5726" s="19"/>
      <c r="N5726" s="19"/>
      <c r="P5726" s="19"/>
      <c r="AL5726" s="19"/>
    </row>
    <row r="5727" spans="1:38" s="11" customFormat="1" x14ac:dyDescent="0.25">
      <c r="A5727" s="3"/>
      <c r="F5727" s="19"/>
      <c r="G5727" s="19"/>
      <c r="N5727" s="19"/>
      <c r="P5727" s="19"/>
      <c r="AL5727" s="19"/>
    </row>
    <row r="5728" spans="1:38" s="11" customFormat="1" x14ac:dyDescent="0.25">
      <c r="A5728" s="3"/>
      <c r="F5728" s="19"/>
      <c r="G5728" s="19"/>
      <c r="N5728" s="19"/>
      <c r="P5728" s="19"/>
      <c r="AL5728" s="19"/>
    </row>
    <row r="5729" spans="1:38" s="11" customFormat="1" x14ac:dyDescent="0.25">
      <c r="A5729" s="3"/>
      <c r="F5729" s="19"/>
      <c r="G5729" s="19"/>
      <c r="N5729" s="19"/>
      <c r="P5729" s="19"/>
      <c r="AL5729" s="19"/>
    </row>
    <row r="5730" spans="1:38" s="11" customFormat="1" x14ac:dyDescent="0.25">
      <c r="A5730" s="3"/>
      <c r="F5730" s="19"/>
      <c r="G5730" s="19"/>
      <c r="N5730" s="19"/>
      <c r="P5730" s="19"/>
      <c r="AL5730" s="19"/>
    </row>
    <row r="5731" spans="1:38" s="11" customFormat="1" x14ac:dyDescent="0.25">
      <c r="A5731" s="3"/>
      <c r="F5731" s="19"/>
      <c r="G5731" s="19"/>
      <c r="N5731" s="19"/>
      <c r="P5731" s="19"/>
      <c r="AL5731" s="19"/>
    </row>
    <row r="5732" spans="1:38" s="11" customFormat="1" x14ac:dyDescent="0.25">
      <c r="A5732" s="3"/>
      <c r="F5732" s="19"/>
      <c r="G5732" s="19"/>
      <c r="N5732" s="19"/>
      <c r="P5732" s="19"/>
      <c r="AL5732" s="19"/>
    </row>
    <row r="5733" spans="1:38" s="11" customFormat="1" x14ac:dyDescent="0.25">
      <c r="A5733" s="3"/>
      <c r="F5733" s="19"/>
      <c r="G5733" s="19"/>
      <c r="N5733" s="19"/>
      <c r="P5733" s="19"/>
      <c r="AL5733" s="19"/>
    </row>
    <row r="5734" spans="1:38" s="11" customFormat="1" x14ac:dyDescent="0.25">
      <c r="A5734" s="3"/>
      <c r="F5734" s="19"/>
      <c r="G5734" s="19"/>
      <c r="N5734" s="19"/>
      <c r="P5734" s="19"/>
      <c r="AL5734" s="19"/>
    </row>
    <row r="5735" spans="1:38" s="11" customFormat="1" x14ac:dyDescent="0.25">
      <c r="A5735" s="3"/>
      <c r="F5735" s="19"/>
      <c r="G5735" s="19"/>
      <c r="N5735" s="19"/>
      <c r="P5735" s="19"/>
      <c r="AL5735" s="19"/>
    </row>
    <row r="5736" spans="1:38" s="11" customFormat="1" x14ac:dyDescent="0.25">
      <c r="A5736" s="3"/>
      <c r="F5736" s="19"/>
      <c r="G5736" s="19"/>
      <c r="N5736" s="19"/>
      <c r="P5736" s="19"/>
      <c r="AL5736" s="19"/>
    </row>
    <row r="5737" spans="1:38" s="11" customFormat="1" x14ac:dyDescent="0.25">
      <c r="A5737" s="3"/>
      <c r="F5737" s="19"/>
      <c r="G5737" s="19"/>
      <c r="N5737" s="19"/>
      <c r="P5737" s="19"/>
      <c r="AL5737" s="19"/>
    </row>
    <row r="5738" spans="1:38" s="11" customFormat="1" x14ac:dyDescent="0.25">
      <c r="A5738" s="3"/>
      <c r="F5738" s="19"/>
      <c r="G5738" s="19"/>
      <c r="N5738" s="19"/>
      <c r="P5738" s="19"/>
      <c r="AL5738" s="19"/>
    </row>
    <row r="5739" spans="1:38" s="11" customFormat="1" x14ac:dyDescent="0.25">
      <c r="A5739" s="3"/>
      <c r="F5739" s="19"/>
      <c r="G5739" s="19"/>
      <c r="N5739" s="19"/>
      <c r="P5739" s="19"/>
      <c r="AL5739" s="19"/>
    </row>
    <row r="5740" spans="1:38" s="11" customFormat="1" x14ac:dyDescent="0.25">
      <c r="A5740" s="3"/>
      <c r="F5740" s="19"/>
      <c r="G5740" s="19"/>
      <c r="N5740" s="19"/>
      <c r="P5740" s="19"/>
      <c r="AL5740" s="19"/>
    </row>
    <row r="5741" spans="1:38" s="11" customFormat="1" x14ac:dyDescent="0.25">
      <c r="A5741" s="3"/>
      <c r="F5741" s="19"/>
      <c r="G5741" s="19"/>
      <c r="N5741" s="19"/>
      <c r="P5741" s="19"/>
      <c r="AL5741" s="19"/>
    </row>
    <row r="5742" spans="1:38" s="11" customFormat="1" x14ac:dyDescent="0.25">
      <c r="A5742" s="3"/>
      <c r="F5742" s="19"/>
      <c r="G5742" s="19"/>
      <c r="N5742" s="19"/>
      <c r="P5742" s="19"/>
      <c r="AL5742" s="19"/>
    </row>
    <row r="5743" spans="1:38" s="11" customFormat="1" x14ac:dyDescent="0.25">
      <c r="A5743" s="3"/>
      <c r="F5743" s="19"/>
      <c r="G5743" s="19"/>
      <c r="N5743" s="19"/>
      <c r="P5743" s="19"/>
      <c r="AL5743" s="19"/>
    </row>
    <row r="5744" spans="1:38" s="11" customFormat="1" x14ac:dyDescent="0.25">
      <c r="A5744" s="3"/>
      <c r="F5744" s="19"/>
      <c r="G5744" s="19"/>
      <c r="N5744" s="19"/>
      <c r="P5744" s="19"/>
      <c r="AL5744" s="19"/>
    </row>
    <row r="5745" spans="1:38" s="11" customFormat="1" x14ac:dyDescent="0.25">
      <c r="A5745" s="3"/>
      <c r="F5745" s="19"/>
      <c r="G5745" s="19"/>
      <c r="N5745" s="19"/>
      <c r="P5745" s="19"/>
      <c r="AL5745" s="19"/>
    </row>
    <row r="5746" spans="1:38" s="11" customFormat="1" x14ac:dyDescent="0.25">
      <c r="A5746" s="3"/>
      <c r="F5746" s="19"/>
      <c r="G5746" s="19"/>
      <c r="N5746" s="19"/>
      <c r="P5746" s="19"/>
      <c r="AL5746" s="19"/>
    </row>
    <row r="5747" spans="1:38" s="11" customFormat="1" x14ac:dyDescent="0.25">
      <c r="A5747" s="3"/>
      <c r="F5747" s="19"/>
      <c r="G5747" s="19"/>
      <c r="N5747" s="19"/>
      <c r="P5747" s="19"/>
      <c r="AL5747" s="19"/>
    </row>
    <row r="5748" spans="1:38" s="11" customFormat="1" x14ac:dyDescent="0.25">
      <c r="A5748" s="3"/>
      <c r="F5748" s="19"/>
      <c r="G5748" s="19"/>
      <c r="N5748" s="19"/>
      <c r="P5748" s="19"/>
      <c r="AL5748" s="19"/>
    </row>
    <row r="5749" spans="1:38" s="11" customFormat="1" x14ac:dyDescent="0.25">
      <c r="A5749" s="3"/>
      <c r="F5749" s="19"/>
      <c r="G5749" s="19"/>
      <c r="N5749" s="19"/>
      <c r="P5749" s="19"/>
      <c r="AL5749" s="19"/>
    </row>
    <row r="5750" spans="1:38" s="11" customFormat="1" x14ac:dyDescent="0.25">
      <c r="A5750" s="3"/>
      <c r="F5750" s="19"/>
      <c r="G5750" s="19"/>
      <c r="N5750" s="19"/>
      <c r="P5750" s="19"/>
      <c r="AL5750" s="19"/>
    </row>
    <row r="5751" spans="1:38" s="11" customFormat="1" x14ac:dyDescent="0.25">
      <c r="A5751" s="3"/>
      <c r="F5751" s="19"/>
      <c r="G5751" s="19"/>
      <c r="N5751" s="19"/>
      <c r="P5751" s="19"/>
      <c r="AL5751" s="19"/>
    </row>
    <row r="5752" spans="1:38" s="11" customFormat="1" x14ac:dyDescent="0.25">
      <c r="A5752" s="3"/>
      <c r="F5752" s="19"/>
      <c r="G5752" s="19"/>
      <c r="N5752" s="19"/>
      <c r="P5752" s="19"/>
      <c r="AL5752" s="19"/>
    </row>
    <row r="5753" spans="1:38" s="11" customFormat="1" x14ac:dyDescent="0.25">
      <c r="A5753" s="3"/>
      <c r="F5753" s="19"/>
      <c r="G5753" s="19"/>
      <c r="N5753" s="19"/>
      <c r="P5753" s="19"/>
      <c r="AL5753" s="19"/>
    </row>
    <row r="5754" spans="1:38" s="11" customFormat="1" x14ac:dyDescent="0.25">
      <c r="A5754" s="3"/>
      <c r="F5754" s="19"/>
      <c r="G5754" s="19"/>
      <c r="N5754" s="19"/>
      <c r="P5754" s="19"/>
      <c r="AL5754" s="19"/>
    </row>
    <row r="5755" spans="1:38" s="11" customFormat="1" x14ac:dyDescent="0.25">
      <c r="A5755" s="3"/>
      <c r="F5755" s="19"/>
      <c r="G5755" s="19"/>
      <c r="N5755" s="19"/>
      <c r="P5755" s="19"/>
      <c r="AL5755" s="19"/>
    </row>
    <row r="5756" spans="1:38" s="11" customFormat="1" x14ac:dyDescent="0.25">
      <c r="A5756" s="3"/>
      <c r="F5756" s="19"/>
      <c r="G5756" s="19"/>
      <c r="N5756" s="19"/>
      <c r="P5756" s="19"/>
      <c r="AL5756" s="19"/>
    </row>
    <row r="5757" spans="1:38" s="11" customFormat="1" x14ac:dyDescent="0.25">
      <c r="A5757" s="3"/>
      <c r="F5757" s="19"/>
      <c r="G5757" s="19"/>
      <c r="N5757" s="19"/>
      <c r="P5757" s="19"/>
      <c r="AL5757" s="19"/>
    </row>
    <row r="5758" spans="1:38" s="11" customFormat="1" x14ac:dyDescent="0.25">
      <c r="A5758" s="3"/>
      <c r="F5758" s="19"/>
      <c r="G5758" s="19"/>
      <c r="N5758" s="19"/>
      <c r="P5758" s="19"/>
      <c r="AL5758" s="19"/>
    </row>
    <row r="5759" spans="1:38" s="11" customFormat="1" x14ac:dyDescent="0.25">
      <c r="A5759" s="3"/>
      <c r="F5759" s="19"/>
      <c r="G5759" s="19"/>
      <c r="N5759" s="19"/>
      <c r="P5759" s="19"/>
      <c r="AL5759" s="19"/>
    </row>
    <row r="5760" spans="1:38" s="11" customFormat="1" x14ac:dyDescent="0.25">
      <c r="A5760" s="3"/>
      <c r="F5760" s="19"/>
      <c r="G5760" s="19"/>
      <c r="N5760" s="19"/>
      <c r="P5760" s="19"/>
      <c r="AL5760" s="19"/>
    </row>
    <row r="5761" spans="1:38" s="11" customFormat="1" x14ac:dyDescent="0.25">
      <c r="A5761" s="3"/>
      <c r="F5761" s="19"/>
      <c r="G5761" s="19"/>
      <c r="N5761" s="19"/>
      <c r="P5761" s="19"/>
      <c r="AL5761" s="19"/>
    </row>
    <row r="5762" spans="1:38" s="11" customFormat="1" x14ac:dyDescent="0.25">
      <c r="A5762" s="3"/>
      <c r="F5762" s="19"/>
      <c r="G5762" s="19"/>
      <c r="N5762" s="19"/>
      <c r="P5762" s="19"/>
      <c r="AL5762" s="19"/>
    </row>
    <row r="5763" spans="1:38" s="11" customFormat="1" x14ac:dyDescent="0.25">
      <c r="A5763" s="3"/>
      <c r="F5763" s="19"/>
      <c r="G5763" s="19"/>
      <c r="N5763" s="19"/>
      <c r="P5763" s="19"/>
      <c r="AL5763" s="19"/>
    </row>
    <row r="5764" spans="1:38" s="11" customFormat="1" x14ac:dyDescent="0.25">
      <c r="A5764" s="3"/>
      <c r="F5764" s="19"/>
      <c r="G5764" s="19"/>
      <c r="N5764" s="19"/>
      <c r="P5764" s="19"/>
      <c r="AL5764" s="19"/>
    </row>
    <row r="5765" spans="1:38" s="11" customFormat="1" x14ac:dyDescent="0.25">
      <c r="A5765" s="3"/>
      <c r="F5765" s="19"/>
      <c r="G5765" s="19"/>
      <c r="N5765" s="19"/>
      <c r="P5765" s="19"/>
      <c r="AL5765" s="19"/>
    </row>
    <row r="5766" spans="1:38" s="11" customFormat="1" x14ac:dyDescent="0.25">
      <c r="A5766" s="3"/>
      <c r="F5766" s="19"/>
      <c r="G5766" s="19"/>
      <c r="N5766" s="19"/>
      <c r="P5766" s="19"/>
      <c r="AL5766" s="19"/>
    </row>
    <row r="5767" spans="1:38" s="11" customFormat="1" x14ac:dyDescent="0.25">
      <c r="A5767" s="3"/>
      <c r="F5767" s="19"/>
      <c r="G5767" s="19"/>
      <c r="N5767" s="19"/>
      <c r="P5767" s="19"/>
      <c r="AL5767" s="19"/>
    </row>
    <row r="5768" spans="1:38" s="11" customFormat="1" x14ac:dyDescent="0.25">
      <c r="A5768" s="3"/>
      <c r="F5768" s="19"/>
      <c r="G5768" s="19"/>
      <c r="N5768" s="19"/>
      <c r="P5768" s="19"/>
      <c r="AL5768" s="19"/>
    </row>
    <row r="5769" spans="1:38" s="11" customFormat="1" x14ac:dyDescent="0.25">
      <c r="A5769" s="3"/>
      <c r="F5769" s="19"/>
      <c r="G5769" s="19"/>
      <c r="N5769" s="19"/>
      <c r="P5769" s="19"/>
      <c r="AL5769" s="19"/>
    </row>
    <row r="5770" spans="1:38" s="11" customFormat="1" x14ac:dyDescent="0.25">
      <c r="A5770" s="3"/>
      <c r="F5770" s="19"/>
      <c r="G5770" s="19"/>
      <c r="N5770" s="19"/>
      <c r="P5770" s="19"/>
      <c r="AL5770" s="19"/>
    </row>
    <row r="5771" spans="1:38" s="11" customFormat="1" x14ac:dyDescent="0.25">
      <c r="A5771" s="3"/>
      <c r="F5771" s="19"/>
      <c r="G5771" s="19"/>
      <c r="N5771" s="19"/>
      <c r="P5771" s="19"/>
      <c r="AL5771" s="19"/>
    </row>
    <row r="5772" spans="1:38" s="11" customFormat="1" x14ac:dyDescent="0.25">
      <c r="A5772" s="3"/>
      <c r="F5772" s="19"/>
      <c r="G5772" s="19"/>
      <c r="N5772" s="19"/>
      <c r="P5772" s="19"/>
      <c r="AL5772" s="19"/>
    </row>
    <row r="5773" spans="1:38" s="11" customFormat="1" x14ac:dyDescent="0.25">
      <c r="A5773" s="3"/>
      <c r="F5773" s="19"/>
      <c r="G5773" s="19"/>
      <c r="N5773" s="19"/>
      <c r="P5773" s="19"/>
      <c r="AL5773" s="19"/>
    </row>
    <row r="5774" spans="1:38" s="11" customFormat="1" x14ac:dyDescent="0.25">
      <c r="A5774" s="3"/>
      <c r="F5774" s="19"/>
      <c r="G5774" s="19"/>
      <c r="N5774" s="19"/>
      <c r="P5774" s="19"/>
      <c r="AL5774" s="19"/>
    </row>
    <row r="5775" spans="1:38" s="11" customFormat="1" x14ac:dyDescent="0.25">
      <c r="A5775" s="3"/>
      <c r="F5775" s="19"/>
      <c r="G5775" s="19"/>
      <c r="N5775" s="19"/>
      <c r="P5775" s="19"/>
      <c r="AL5775" s="19"/>
    </row>
    <row r="5776" spans="1:38" s="11" customFormat="1" x14ac:dyDescent="0.25">
      <c r="A5776" s="3"/>
      <c r="F5776" s="19"/>
      <c r="G5776" s="19"/>
      <c r="N5776" s="19"/>
      <c r="P5776" s="19"/>
      <c r="AL5776" s="19"/>
    </row>
    <row r="5777" spans="1:38" s="11" customFormat="1" x14ac:dyDescent="0.25">
      <c r="A5777" s="3"/>
      <c r="F5777" s="19"/>
      <c r="G5777" s="19"/>
      <c r="N5777" s="19"/>
      <c r="P5777" s="19"/>
      <c r="AL5777" s="19"/>
    </row>
    <row r="5778" spans="1:38" s="11" customFormat="1" x14ac:dyDescent="0.25">
      <c r="A5778" s="3"/>
      <c r="F5778" s="19"/>
      <c r="G5778" s="19"/>
      <c r="N5778" s="19"/>
      <c r="P5778" s="19"/>
      <c r="AL5778" s="19"/>
    </row>
    <row r="5779" spans="1:38" s="11" customFormat="1" x14ac:dyDescent="0.25">
      <c r="A5779" s="3"/>
      <c r="F5779" s="19"/>
      <c r="G5779" s="19"/>
      <c r="N5779" s="19"/>
      <c r="P5779" s="19"/>
      <c r="AL5779" s="19"/>
    </row>
    <row r="5780" spans="1:38" s="11" customFormat="1" x14ac:dyDescent="0.25">
      <c r="A5780" s="3"/>
      <c r="F5780" s="19"/>
      <c r="G5780" s="19"/>
      <c r="N5780" s="19"/>
      <c r="P5780" s="19"/>
      <c r="AL5780" s="19"/>
    </row>
    <row r="5781" spans="1:38" s="11" customFormat="1" x14ac:dyDescent="0.25">
      <c r="A5781" s="3"/>
      <c r="F5781" s="19"/>
      <c r="G5781" s="19"/>
      <c r="N5781" s="19"/>
      <c r="P5781" s="19"/>
      <c r="AL5781" s="19"/>
    </row>
    <row r="5782" spans="1:38" s="11" customFormat="1" x14ac:dyDescent="0.25">
      <c r="A5782" s="3"/>
      <c r="F5782" s="19"/>
      <c r="G5782" s="19"/>
      <c r="N5782" s="19"/>
      <c r="P5782" s="19"/>
      <c r="AL5782" s="19"/>
    </row>
    <row r="5783" spans="1:38" s="11" customFormat="1" x14ac:dyDescent="0.25">
      <c r="A5783" s="3"/>
      <c r="F5783" s="19"/>
      <c r="G5783" s="19"/>
      <c r="N5783" s="19"/>
      <c r="P5783" s="19"/>
      <c r="AL5783" s="19"/>
    </row>
    <row r="5784" spans="1:38" s="11" customFormat="1" x14ac:dyDescent="0.25">
      <c r="A5784" s="3"/>
      <c r="F5784" s="19"/>
      <c r="G5784" s="19"/>
      <c r="N5784" s="19"/>
      <c r="P5784" s="19"/>
      <c r="AL5784" s="19"/>
    </row>
    <row r="5785" spans="1:38" s="11" customFormat="1" x14ac:dyDescent="0.25">
      <c r="A5785" s="3"/>
      <c r="F5785" s="19"/>
      <c r="G5785" s="19"/>
      <c r="N5785" s="19"/>
      <c r="P5785" s="19"/>
      <c r="AL5785" s="19"/>
    </row>
    <row r="5786" spans="1:38" s="11" customFormat="1" x14ac:dyDescent="0.25">
      <c r="A5786" s="3"/>
      <c r="F5786" s="19"/>
      <c r="G5786" s="19"/>
      <c r="N5786" s="19"/>
      <c r="P5786" s="19"/>
      <c r="AL5786" s="19"/>
    </row>
    <row r="5787" spans="1:38" s="11" customFormat="1" x14ac:dyDescent="0.25">
      <c r="A5787" s="3"/>
      <c r="F5787" s="19"/>
      <c r="G5787" s="19"/>
      <c r="N5787" s="19"/>
      <c r="P5787" s="19"/>
      <c r="AL5787" s="19"/>
    </row>
    <row r="5788" spans="1:38" s="11" customFormat="1" x14ac:dyDescent="0.25">
      <c r="A5788" s="3"/>
      <c r="F5788" s="19"/>
      <c r="G5788" s="19"/>
      <c r="N5788" s="19"/>
      <c r="P5788" s="19"/>
      <c r="AL5788" s="19"/>
    </row>
    <row r="5789" spans="1:38" s="11" customFormat="1" x14ac:dyDescent="0.25">
      <c r="A5789" s="3"/>
      <c r="F5789" s="19"/>
      <c r="G5789" s="19"/>
      <c r="N5789" s="19"/>
      <c r="P5789" s="19"/>
      <c r="AL5789" s="19"/>
    </row>
    <row r="5790" spans="1:38" s="11" customFormat="1" x14ac:dyDescent="0.25">
      <c r="A5790" s="3"/>
      <c r="F5790" s="19"/>
      <c r="G5790" s="19"/>
      <c r="N5790" s="19"/>
      <c r="P5790" s="19"/>
      <c r="AL5790" s="19"/>
    </row>
    <row r="5791" spans="1:38" s="11" customFormat="1" x14ac:dyDescent="0.25">
      <c r="A5791" s="3"/>
      <c r="F5791" s="19"/>
      <c r="G5791" s="19"/>
      <c r="N5791" s="19"/>
      <c r="P5791" s="19"/>
      <c r="AL5791" s="19"/>
    </row>
    <row r="5792" spans="1:38" s="11" customFormat="1" x14ac:dyDescent="0.25">
      <c r="A5792" s="3"/>
      <c r="F5792" s="19"/>
      <c r="G5792" s="19"/>
      <c r="N5792" s="19"/>
      <c r="P5792" s="19"/>
      <c r="AL5792" s="19"/>
    </row>
    <row r="5793" spans="1:38" s="11" customFormat="1" x14ac:dyDescent="0.25">
      <c r="A5793" s="3"/>
      <c r="F5793" s="19"/>
      <c r="G5793" s="19"/>
      <c r="N5793" s="19"/>
      <c r="P5793" s="19"/>
      <c r="AL5793" s="19"/>
    </row>
    <row r="5794" spans="1:38" s="11" customFormat="1" x14ac:dyDescent="0.25">
      <c r="A5794" s="3"/>
      <c r="F5794" s="19"/>
      <c r="G5794" s="19"/>
      <c r="N5794" s="19"/>
      <c r="P5794" s="19"/>
      <c r="AL5794" s="19"/>
    </row>
    <row r="5795" spans="1:38" s="11" customFormat="1" x14ac:dyDescent="0.25">
      <c r="A5795" s="3"/>
      <c r="F5795" s="19"/>
      <c r="G5795" s="19"/>
      <c r="N5795" s="19"/>
      <c r="P5795" s="19"/>
      <c r="AL5795" s="19"/>
    </row>
    <row r="5796" spans="1:38" s="11" customFormat="1" x14ac:dyDescent="0.25">
      <c r="A5796" s="3"/>
      <c r="F5796" s="19"/>
      <c r="G5796" s="19"/>
      <c r="N5796" s="19"/>
      <c r="P5796" s="19"/>
      <c r="AL5796" s="19"/>
    </row>
    <row r="5797" spans="1:38" s="11" customFormat="1" x14ac:dyDescent="0.25">
      <c r="A5797" s="3"/>
      <c r="F5797" s="19"/>
      <c r="G5797" s="19"/>
      <c r="N5797" s="19"/>
      <c r="P5797" s="19"/>
      <c r="AL5797" s="19"/>
    </row>
    <row r="5798" spans="1:38" s="11" customFormat="1" x14ac:dyDescent="0.25">
      <c r="A5798" s="3"/>
      <c r="F5798" s="19"/>
      <c r="G5798" s="19"/>
      <c r="N5798" s="19"/>
      <c r="P5798" s="19"/>
      <c r="AL5798" s="19"/>
    </row>
    <row r="5799" spans="1:38" s="11" customFormat="1" x14ac:dyDescent="0.25">
      <c r="A5799" s="3"/>
      <c r="F5799" s="19"/>
      <c r="G5799" s="19"/>
      <c r="N5799" s="19"/>
      <c r="P5799" s="19"/>
      <c r="AL5799" s="19"/>
    </row>
    <row r="5800" spans="1:38" s="11" customFormat="1" x14ac:dyDescent="0.25">
      <c r="A5800" s="3"/>
      <c r="F5800" s="19"/>
      <c r="G5800" s="19"/>
      <c r="N5800" s="19"/>
      <c r="P5800" s="19"/>
      <c r="AL5800" s="19"/>
    </row>
    <row r="5801" spans="1:38" s="11" customFormat="1" x14ac:dyDescent="0.25">
      <c r="A5801" s="3"/>
      <c r="F5801" s="19"/>
      <c r="G5801" s="19"/>
      <c r="N5801" s="19"/>
      <c r="P5801" s="19"/>
      <c r="AL5801" s="19"/>
    </row>
    <row r="5802" spans="1:38" s="11" customFormat="1" x14ac:dyDescent="0.25">
      <c r="A5802" s="3"/>
      <c r="F5802" s="19"/>
      <c r="G5802" s="19"/>
      <c r="N5802" s="19"/>
      <c r="P5802" s="19"/>
      <c r="AL5802" s="19"/>
    </row>
    <row r="5803" spans="1:38" s="11" customFormat="1" x14ac:dyDescent="0.25">
      <c r="A5803" s="3"/>
      <c r="F5803" s="19"/>
      <c r="G5803" s="19"/>
      <c r="N5803" s="19"/>
      <c r="P5803" s="19"/>
      <c r="AL5803" s="19"/>
    </row>
    <row r="5804" spans="1:38" s="11" customFormat="1" x14ac:dyDescent="0.25">
      <c r="A5804" s="3"/>
      <c r="F5804" s="19"/>
      <c r="G5804" s="19"/>
      <c r="N5804" s="19"/>
      <c r="P5804" s="19"/>
      <c r="AL5804" s="19"/>
    </row>
    <row r="5805" spans="1:38" s="11" customFormat="1" x14ac:dyDescent="0.25">
      <c r="A5805" s="3"/>
      <c r="F5805" s="19"/>
      <c r="G5805" s="19"/>
      <c r="N5805" s="19"/>
      <c r="P5805" s="19"/>
      <c r="AL5805" s="19"/>
    </row>
    <row r="5806" spans="1:38" s="11" customFormat="1" x14ac:dyDescent="0.25">
      <c r="A5806" s="3"/>
      <c r="F5806" s="19"/>
      <c r="G5806" s="19"/>
      <c r="N5806" s="19"/>
      <c r="P5806" s="19"/>
      <c r="AL5806" s="19"/>
    </row>
    <row r="5807" spans="1:38" s="11" customFormat="1" x14ac:dyDescent="0.25">
      <c r="A5807" s="3"/>
      <c r="F5807" s="19"/>
      <c r="G5807" s="19"/>
      <c r="N5807" s="19"/>
      <c r="P5807" s="19"/>
      <c r="AL5807" s="19"/>
    </row>
    <row r="5808" spans="1:38" s="11" customFormat="1" x14ac:dyDescent="0.25">
      <c r="A5808" s="3"/>
      <c r="F5808" s="19"/>
      <c r="G5808" s="19"/>
      <c r="N5808" s="19"/>
      <c r="P5808" s="19"/>
      <c r="AL5808" s="19"/>
    </row>
    <row r="5809" spans="1:38" s="11" customFormat="1" x14ac:dyDescent="0.25">
      <c r="A5809" s="3"/>
      <c r="F5809" s="19"/>
      <c r="G5809" s="19"/>
      <c r="N5809" s="19"/>
      <c r="P5809" s="19"/>
      <c r="AL5809" s="19"/>
    </row>
    <row r="5810" spans="1:38" s="11" customFormat="1" x14ac:dyDescent="0.25">
      <c r="A5810" s="3"/>
      <c r="F5810" s="19"/>
      <c r="G5810" s="19"/>
      <c r="N5810" s="19"/>
      <c r="P5810" s="19"/>
      <c r="AL5810" s="19"/>
    </row>
    <row r="5811" spans="1:38" s="11" customFormat="1" x14ac:dyDescent="0.25">
      <c r="A5811" s="3"/>
      <c r="F5811" s="19"/>
      <c r="G5811" s="19"/>
      <c r="N5811" s="19"/>
      <c r="P5811" s="19"/>
      <c r="AL5811" s="19"/>
    </row>
    <row r="5812" spans="1:38" s="11" customFormat="1" x14ac:dyDescent="0.25">
      <c r="A5812" s="3"/>
      <c r="F5812" s="19"/>
      <c r="G5812" s="19"/>
      <c r="N5812" s="19"/>
      <c r="P5812" s="19"/>
      <c r="AL5812" s="19"/>
    </row>
    <row r="5813" spans="1:38" s="11" customFormat="1" x14ac:dyDescent="0.25">
      <c r="A5813" s="3"/>
      <c r="F5813" s="19"/>
      <c r="G5813" s="19"/>
      <c r="N5813" s="19"/>
      <c r="P5813" s="19"/>
      <c r="AL5813" s="19"/>
    </row>
    <row r="5814" spans="1:38" s="11" customFormat="1" x14ac:dyDescent="0.25">
      <c r="A5814" s="3"/>
      <c r="F5814" s="19"/>
      <c r="G5814" s="19"/>
      <c r="N5814" s="19"/>
      <c r="P5814" s="19"/>
      <c r="AL5814" s="19"/>
    </row>
    <row r="5815" spans="1:38" s="11" customFormat="1" x14ac:dyDescent="0.25">
      <c r="A5815" s="3"/>
      <c r="F5815" s="19"/>
      <c r="G5815" s="19"/>
      <c r="N5815" s="19"/>
      <c r="P5815" s="19"/>
      <c r="AL5815" s="19"/>
    </row>
    <row r="5816" spans="1:38" s="11" customFormat="1" x14ac:dyDescent="0.25">
      <c r="A5816" s="3"/>
      <c r="F5816" s="19"/>
      <c r="G5816" s="19"/>
      <c r="N5816" s="19"/>
      <c r="P5816" s="19"/>
      <c r="AL5816" s="19"/>
    </row>
    <row r="5817" spans="1:38" s="11" customFormat="1" x14ac:dyDescent="0.25">
      <c r="A5817" s="3"/>
      <c r="F5817" s="19"/>
      <c r="G5817" s="19"/>
      <c r="N5817" s="19"/>
      <c r="P5817" s="19"/>
      <c r="AL5817" s="19"/>
    </row>
    <row r="5818" spans="1:38" s="11" customFormat="1" x14ac:dyDescent="0.25">
      <c r="A5818" s="3"/>
      <c r="F5818" s="19"/>
      <c r="G5818" s="19"/>
      <c r="N5818" s="19"/>
      <c r="P5818" s="19"/>
      <c r="AL5818" s="19"/>
    </row>
    <row r="5819" spans="1:38" s="11" customFormat="1" x14ac:dyDescent="0.25">
      <c r="A5819" s="3"/>
      <c r="F5819" s="19"/>
      <c r="G5819" s="19"/>
      <c r="N5819" s="19"/>
      <c r="P5819" s="19"/>
      <c r="AL5819" s="19"/>
    </row>
    <row r="5820" spans="1:38" s="11" customFormat="1" x14ac:dyDescent="0.25">
      <c r="A5820" s="3"/>
      <c r="F5820" s="19"/>
      <c r="G5820" s="19"/>
      <c r="N5820" s="19"/>
      <c r="P5820" s="19"/>
      <c r="AL5820" s="19"/>
    </row>
    <row r="5821" spans="1:38" s="11" customFormat="1" x14ac:dyDescent="0.25">
      <c r="A5821" s="3"/>
      <c r="F5821" s="19"/>
      <c r="G5821" s="19"/>
      <c r="N5821" s="19"/>
      <c r="P5821" s="19"/>
      <c r="AL5821" s="19"/>
    </row>
    <row r="5822" spans="1:38" s="11" customFormat="1" x14ac:dyDescent="0.25">
      <c r="A5822" s="3"/>
      <c r="F5822" s="19"/>
      <c r="G5822" s="19"/>
      <c r="N5822" s="19"/>
      <c r="P5822" s="19"/>
      <c r="AL5822" s="19"/>
    </row>
    <row r="5823" spans="1:38" s="11" customFormat="1" x14ac:dyDescent="0.25">
      <c r="A5823" s="3"/>
      <c r="F5823" s="19"/>
      <c r="G5823" s="19"/>
      <c r="N5823" s="19"/>
      <c r="P5823" s="19"/>
      <c r="AL5823" s="19"/>
    </row>
    <row r="5824" spans="1:38" s="11" customFormat="1" x14ac:dyDescent="0.25">
      <c r="A5824" s="3"/>
      <c r="F5824" s="19"/>
      <c r="G5824" s="19"/>
      <c r="N5824" s="19"/>
      <c r="P5824" s="19"/>
      <c r="AL5824" s="19"/>
    </row>
    <row r="5825" spans="1:38" s="11" customFormat="1" x14ac:dyDescent="0.25">
      <c r="A5825" s="3"/>
      <c r="F5825" s="19"/>
      <c r="G5825" s="19"/>
      <c r="N5825" s="19"/>
      <c r="P5825" s="19"/>
      <c r="AL5825" s="19"/>
    </row>
    <row r="5826" spans="1:38" s="11" customFormat="1" x14ac:dyDescent="0.25">
      <c r="A5826" s="3"/>
      <c r="F5826" s="19"/>
      <c r="G5826" s="19"/>
      <c r="N5826" s="19"/>
      <c r="P5826" s="19"/>
      <c r="AL5826" s="19"/>
    </row>
    <row r="5827" spans="1:38" s="11" customFormat="1" x14ac:dyDescent="0.25">
      <c r="A5827" s="3"/>
      <c r="F5827" s="19"/>
      <c r="G5827" s="19"/>
      <c r="N5827" s="19"/>
      <c r="P5827" s="19"/>
      <c r="AL5827" s="19"/>
    </row>
    <row r="5828" spans="1:38" s="11" customFormat="1" x14ac:dyDescent="0.25">
      <c r="A5828" s="3"/>
      <c r="F5828" s="19"/>
      <c r="G5828" s="19"/>
      <c r="N5828" s="19"/>
      <c r="P5828" s="19"/>
      <c r="AL5828" s="19"/>
    </row>
    <row r="5829" spans="1:38" s="11" customFormat="1" x14ac:dyDescent="0.25">
      <c r="A5829" s="3"/>
      <c r="F5829" s="19"/>
      <c r="G5829" s="19"/>
      <c r="N5829" s="19"/>
      <c r="P5829" s="19"/>
      <c r="AL5829" s="19"/>
    </row>
    <row r="5830" spans="1:38" s="11" customFormat="1" x14ac:dyDescent="0.25">
      <c r="A5830" s="3"/>
      <c r="F5830" s="19"/>
      <c r="G5830" s="19"/>
      <c r="N5830" s="19"/>
      <c r="P5830" s="19"/>
      <c r="AL5830" s="19"/>
    </row>
    <row r="5831" spans="1:38" s="11" customFormat="1" x14ac:dyDescent="0.25">
      <c r="A5831" s="3"/>
      <c r="F5831" s="19"/>
      <c r="G5831" s="19"/>
      <c r="N5831" s="19"/>
      <c r="P5831" s="19"/>
      <c r="AL5831" s="19"/>
    </row>
    <row r="5832" spans="1:38" s="11" customFormat="1" x14ac:dyDescent="0.25">
      <c r="A5832" s="3"/>
      <c r="F5832" s="19"/>
      <c r="G5832" s="19"/>
      <c r="N5832" s="19"/>
      <c r="P5832" s="19"/>
      <c r="AL5832" s="19"/>
    </row>
    <row r="5833" spans="1:38" s="11" customFormat="1" x14ac:dyDescent="0.25">
      <c r="A5833" s="3"/>
      <c r="F5833" s="19"/>
      <c r="G5833" s="19"/>
      <c r="N5833" s="19"/>
      <c r="P5833" s="19"/>
      <c r="AL5833" s="19"/>
    </row>
    <row r="5834" spans="1:38" s="11" customFormat="1" x14ac:dyDescent="0.25">
      <c r="A5834" s="3"/>
      <c r="F5834" s="19"/>
      <c r="G5834" s="19"/>
      <c r="N5834" s="19"/>
      <c r="P5834" s="19"/>
      <c r="AL5834" s="19"/>
    </row>
    <row r="5835" spans="1:38" s="11" customFormat="1" x14ac:dyDescent="0.25">
      <c r="A5835" s="3"/>
      <c r="F5835" s="19"/>
      <c r="G5835" s="19"/>
      <c r="N5835" s="19"/>
      <c r="P5835" s="19"/>
      <c r="AL5835" s="19"/>
    </row>
    <row r="5836" spans="1:38" s="11" customFormat="1" x14ac:dyDescent="0.25">
      <c r="A5836" s="3"/>
      <c r="F5836" s="19"/>
      <c r="G5836" s="19"/>
      <c r="N5836" s="19"/>
      <c r="P5836" s="19"/>
      <c r="AL5836" s="19"/>
    </row>
    <row r="5837" spans="1:38" s="11" customFormat="1" x14ac:dyDescent="0.25">
      <c r="A5837" s="3"/>
      <c r="F5837" s="19"/>
      <c r="G5837" s="19"/>
      <c r="N5837" s="19"/>
      <c r="P5837" s="19"/>
      <c r="AL5837" s="19"/>
    </row>
    <row r="5838" spans="1:38" s="11" customFormat="1" x14ac:dyDescent="0.25">
      <c r="A5838" s="3"/>
      <c r="F5838" s="19"/>
      <c r="G5838" s="19"/>
      <c r="N5838" s="19"/>
      <c r="P5838" s="19"/>
      <c r="AL5838" s="19"/>
    </row>
    <row r="5839" spans="1:38" s="11" customFormat="1" x14ac:dyDescent="0.25">
      <c r="A5839" s="3"/>
      <c r="F5839" s="19"/>
      <c r="G5839" s="19"/>
      <c r="N5839" s="19"/>
      <c r="P5839" s="19"/>
      <c r="AL5839" s="19"/>
    </row>
    <row r="5840" spans="1:38" s="11" customFormat="1" x14ac:dyDescent="0.25">
      <c r="A5840" s="3"/>
      <c r="F5840" s="19"/>
      <c r="G5840" s="19"/>
      <c r="N5840" s="19"/>
      <c r="P5840" s="19"/>
      <c r="AL5840" s="19"/>
    </row>
    <row r="5841" spans="1:38" s="11" customFormat="1" x14ac:dyDescent="0.25">
      <c r="A5841" s="3"/>
      <c r="F5841" s="19"/>
      <c r="G5841" s="19"/>
      <c r="N5841" s="19"/>
      <c r="P5841" s="19"/>
      <c r="AL5841" s="19"/>
    </row>
    <row r="5842" spans="1:38" s="11" customFormat="1" x14ac:dyDescent="0.25">
      <c r="A5842" s="3"/>
      <c r="F5842" s="19"/>
      <c r="G5842" s="19"/>
      <c r="N5842" s="19"/>
      <c r="P5842" s="19"/>
      <c r="AL5842" s="19"/>
    </row>
    <row r="5843" spans="1:38" s="11" customFormat="1" x14ac:dyDescent="0.25">
      <c r="A5843" s="3"/>
      <c r="F5843" s="19"/>
      <c r="G5843" s="19"/>
      <c r="N5843" s="19"/>
      <c r="P5843" s="19"/>
      <c r="AL5843" s="19"/>
    </row>
    <row r="5844" spans="1:38" s="11" customFormat="1" x14ac:dyDescent="0.25">
      <c r="A5844" s="3"/>
      <c r="F5844" s="19"/>
      <c r="G5844" s="19"/>
      <c r="N5844" s="19"/>
      <c r="P5844" s="19"/>
      <c r="AL5844" s="19"/>
    </row>
    <row r="5845" spans="1:38" s="11" customFormat="1" x14ac:dyDescent="0.25">
      <c r="A5845" s="3"/>
      <c r="F5845" s="19"/>
      <c r="G5845" s="19"/>
      <c r="N5845" s="19"/>
      <c r="P5845" s="19"/>
      <c r="AL5845" s="19"/>
    </row>
    <row r="5846" spans="1:38" s="11" customFormat="1" x14ac:dyDescent="0.25">
      <c r="A5846" s="3"/>
      <c r="F5846" s="19"/>
      <c r="G5846" s="19"/>
      <c r="N5846" s="19"/>
      <c r="P5846" s="19"/>
      <c r="AL5846" s="19"/>
    </row>
    <row r="5847" spans="1:38" s="11" customFormat="1" x14ac:dyDescent="0.25">
      <c r="A5847" s="3"/>
      <c r="F5847" s="19"/>
      <c r="G5847" s="19"/>
      <c r="N5847" s="19"/>
      <c r="P5847" s="19"/>
      <c r="AL5847" s="19"/>
    </row>
    <row r="5848" spans="1:38" s="11" customFormat="1" x14ac:dyDescent="0.25">
      <c r="A5848" s="3"/>
      <c r="F5848" s="19"/>
      <c r="G5848" s="19"/>
      <c r="N5848" s="19"/>
      <c r="P5848" s="19"/>
      <c r="AL5848" s="19"/>
    </row>
    <row r="5849" spans="1:38" s="11" customFormat="1" x14ac:dyDescent="0.25">
      <c r="A5849" s="3"/>
      <c r="F5849" s="19"/>
      <c r="G5849" s="19"/>
      <c r="N5849" s="19"/>
      <c r="P5849" s="19"/>
      <c r="AL5849" s="19"/>
    </row>
    <row r="5850" spans="1:38" s="11" customFormat="1" x14ac:dyDescent="0.25">
      <c r="A5850" s="3"/>
      <c r="F5850" s="19"/>
      <c r="G5850" s="19"/>
      <c r="N5850" s="19"/>
      <c r="P5850" s="19"/>
      <c r="AL5850" s="19"/>
    </row>
    <row r="5851" spans="1:38" s="11" customFormat="1" x14ac:dyDescent="0.25">
      <c r="A5851" s="3"/>
      <c r="F5851" s="19"/>
      <c r="G5851" s="19"/>
      <c r="N5851" s="19"/>
      <c r="P5851" s="19"/>
      <c r="AL5851" s="19"/>
    </row>
    <row r="5852" spans="1:38" s="11" customFormat="1" x14ac:dyDescent="0.25">
      <c r="A5852" s="3"/>
      <c r="F5852" s="19"/>
      <c r="G5852" s="19"/>
      <c r="N5852" s="19"/>
      <c r="P5852" s="19"/>
      <c r="AL5852" s="19"/>
    </row>
    <row r="5853" spans="1:38" s="11" customFormat="1" x14ac:dyDescent="0.25">
      <c r="A5853" s="3"/>
      <c r="F5853" s="19"/>
      <c r="G5853" s="19"/>
      <c r="N5853" s="19"/>
      <c r="P5853" s="19"/>
      <c r="AL5853" s="19"/>
    </row>
    <row r="5854" spans="1:38" s="11" customFormat="1" x14ac:dyDescent="0.25">
      <c r="A5854" s="3"/>
      <c r="F5854" s="19"/>
      <c r="G5854" s="19"/>
      <c r="N5854" s="19"/>
      <c r="P5854" s="19"/>
      <c r="AL5854" s="19"/>
    </row>
    <row r="5855" spans="1:38" s="11" customFormat="1" x14ac:dyDescent="0.25">
      <c r="A5855" s="3"/>
      <c r="F5855" s="19"/>
      <c r="G5855" s="19"/>
      <c r="N5855" s="19"/>
      <c r="P5855" s="19"/>
      <c r="AL5855" s="19"/>
    </row>
    <row r="5856" spans="1:38" s="11" customFormat="1" x14ac:dyDescent="0.25">
      <c r="A5856" s="3"/>
      <c r="F5856" s="19"/>
      <c r="G5856" s="19"/>
      <c r="N5856" s="19"/>
      <c r="P5856" s="19"/>
      <c r="AL5856" s="19"/>
    </row>
    <row r="5857" spans="1:38" s="11" customFormat="1" x14ac:dyDescent="0.25">
      <c r="A5857" s="3"/>
      <c r="F5857" s="19"/>
      <c r="G5857" s="19"/>
      <c r="N5857" s="19"/>
      <c r="P5857" s="19"/>
      <c r="AL5857" s="19"/>
    </row>
    <row r="5858" spans="1:38" s="11" customFormat="1" x14ac:dyDescent="0.25">
      <c r="A5858" s="3"/>
      <c r="F5858" s="19"/>
      <c r="G5858" s="19"/>
      <c r="N5858" s="19"/>
      <c r="P5858" s="19"/>
      <c r="AL5858" s="19"/>
    </row>
    <row r="5859" spans="1:38" s="11" customFormat="1" x14ac:dyDescent="0.25">
      <c r="A5859" s="3"/>
      <c r="F5859" s="19"/>
      <c r="G5859" s="19"/>
      <c r="N5859" s="19"/>
      <c r="P5859" s="19"/>
      <c r="AL5859" s="19"/>
    </row>
    <row r="5860" spans="1:38" s="11" customFormat="1" x14ac:dyDescent="0.25">
      <c r="A5860" s="3"/>
      <c r="F5860" s="19"/>
      <c r="G5860" s="19"/>
      <c r="N5860" s="19"/>
      <c r="P5860" s="19"/>
      <c r="AL5860" s="19"/>
    </row>
    <row r="5861" spans="1:38" s="11" customFormat="1" x14ac:dyDescent="0.25">
      <c r="A5861" s="3"/>
      <c r="F5861" s="19"/>
      <c r="G5861" s="19"/>
      <c r="N5861" s="19"/>
      <c r="P5861" s="19"/>
      <c r="AL5861" s="19"/>
    </row>
    <row r="5862" spans="1:38" s="11" customFormat="1" x14ac:dyDescent="0.25">
      <c r="A5862" s="3"/>
      <c r="F5862" s="19"/>
      <c r="G5862" s="19"/>
      <c r="N5862" s="19"/>
      <c r="P5862" s="19"/>
      <c r="AL5862" s="19"/>
    </row>
    <row r="5863" spans="1:38" s="11" customFormat="1" x14ac:dyDescent="0.25">
      <c r="A5863" s="3"/>
      <c r="F5863" s="19"/>
      <c r="G5863" s="19"/>
      <c r="N5863" s="19"/>
      <c r="P5863" s="19"/>
      <c r="AL5863" s="19"/>
    </row>
    <row r="5864" spans="1:38" s="11" customFormat="1" x14ac:dyDescent="0.25">
      <c r="A5864" s="3"/>
      <c r="F5864" s="19"/>
      <c r="G5864" s="19"/>
      <c r="N5864" s="19"/>
      <c r="P5864" s="19"/>
      <c r="AL5864" s="19"/>
    </row>
    <row r="5865" spans="1:38" s="11" customFormat="1" x14ac:dyDescent="0.25">
      <c r="A5865" s="3"/>
      <c r="F5865" s="19"/>
      <c r="G5865" s="19"/>
      <c r="N5865" s="19"/>
      <c r="P5865" s="19"/>
      <c r="AL5865" s="19"/>
    </row>
    <row r="5866" spans="1:38" s="11" customFormat="1" x14ac:dyDescent="0.25">
      <c r="A5866" s="3"/>
      <c r="F5866" s="19"/>
      <c r="G5866" s="19"/>
      <c r="N5866" s="19"/>
      <c r="P5866" s="19"/>
      <c r="AL5866" s="19"/>
    </row>
    <row r="5867" spans="1:38" s="11" customFormat="1" x14ac:dyDescent="0.25">
      <c r="A5867" s="3"/>
      <c r="F5867" s="19"/>
      <c r="G5867" s="19"/>
      <c r="N5867" s="19"/>
      <c r="P5867" s="19"/>
      <c r="AL5867" s="19"/>
    </row>
    <row r="5868" spans="1:38" s="11" customFormat="1" x14ac:dyDescent="0.25">
      <c r="A5868" s="3"/>
      <c r="F5868" s="19"/>
      <c r="G5868" s="19"/>
      <c r="N5868" s="19"/>
      <c r="P5868" s="19"/>
      <c r="AL5868" s="19"/>
    </row>
    <row r="5869" spans="1:38" s="11" customFormat="1" x14ac:dyDescent="0.25">
      <c r="A5869" s="3"/>
      <c r="F5869" s="19"/>
      <c r="G5869" s="19"/>
      <c r="N5869" s="19"/>
      <c r="P5869" s="19"/>
      <c r="AL5869" s="19"/>
    </row>
    <row r="5870" spans="1:38" s="11" customFormat="1" x14ac:dyDescent="0.25">
      <c r="A5870" s="3"/>
      <c r="F5870" s="19"/>
      <c r="G5870" s="19"/>
      <c r="N5870" s="19"/>
      <c r="P5870" s="19"/>
      <c r="AL5870" s="19"/>
    </row>
    <row r="5871" spans="1:38" s="11" customFormat="1" x14ac:dyDescent="0.25">
      <c r="A5871" s="3"/>
      <c r="F5871" s="19"/>
      <c r="G5871" s="19"/>
      <c r="N5871" s="19"/>
      <c r="P5871" s="19"/>
      <c r="AL5871" s="19"/>
    </row>
    <row r="5872" spans="1:38" s="11" customFormat="1" x14ac:dyDescent="0.25">
      <c r="A5872" s="3"/>
      <c r="F5872" s="19"/>
      <c r="G5872" s="19"/>
      <c r="N5872" s="19"/>
      <c r="P5872" s="19"/>
      <c r="AL5872" s="19"/>
    </row>
    <row r="5873" spans="1:38" s="11" customFormat="1" x14ac:dyDescent="0.25">
      <c r="A5873" s="3"/>
      <c r="F5873" s="19"/>
      <c r="G5873" s="19"/>
      <c r="N5873" s="19"/>
      <c r="P5873" s="19"/>
      <c r="AL5873" s="19"/>
    </row>
    <row r="5874" spans="1:38" s="11" customFormat="1" x14ac:dyDescent="0.25">
      <c r="A5874" s="3"/>
      <c r="F5874" s="19"/>
      <c r="G5874" s="19"/>
      <c r="N5874" s="19"/>
      <c r="P5874" s="19"/>
      <c r="AL5874" s="19"/>
    </row>
    <row r="5875" spans="1:38" s="11" customFormat="1" x14ac:dyDescent="0.25">
      <c r="A5875" s="3"/>
      <c r="F5875" s="19"/>
      <c r="G5875" s="19"/>
      <c r="N5875" s="19"/>
      <c r="P5875" s="19"/>
      <c r="AL5875" s="19"/>
    </row>
    <row r="5876" spans="1:38" s="11" customFormat="1" x14ac:dyDescent="0.25">
      <c r="A5876" s="3"/>
      <c r="F5876" s="19"/>
      <c r="G5876" s="19"/>
      <c r="N5876" s="19"/>
      <c r="P5876" s="19"/>
      <c r="AL5876" s="19"/>
    </row>
    <row r="5877" spans="1:38" s="11" customFormat="1" x14ac:dyDescent="0.25">
      <c r="A5877" s="3"/>
      <c r="F5877" s="19"/>
      <c r="G5877" s="19"/>
      <c r="N5877" s="19"/>
      <c r="P5877" s="19"/>
      <c r="AL5877" s="19"/>
    </row>
    <row r="5878" spans="1:38" s="11" customFormat="1" x14ac:dyDescent="0.25">
      <c r="A5878" s="3"/>
      <c r="F5878" s="19"/>
      <c r="G5878" s="19"/>
      <c r="N5878" s="19"/>
      <c r="P5878" s="19"/>
      <c r="AL5878" s="19"/>
    </row>
    <row r="5879" spans="1:38" s="11" customFormat="1" x14ac:dyDescent="0.25">
      <c r="A5879" s="3"/>
      <c r="F5879" s="19"/>
      <c r="G5879" s="19"/>
      <c r="N5879" s="19"/>
      <c r="P5879" s="19"/>
      <c r="AL5879" s="19"/>
    </row>
    <row r="5880" spans="1:38" s="11" customFormat="1" x14ac:dyDescent="0.25">
      <c r="A5880" s="3"/>
      <c r="F5880" s="19"/>
      <c r="G5880" s="19"/>
      <c r="N5880" s="19"/>
      <c r="P5880" s="19"/>
      <c r="AL5880" s="19"/>
    </row>
    <row r="5881" spans="1:38" s="11" customFormat="1" x14ac:dyDescent="0.25">
      <c r="A5881" s="3"/>
      <c r="F5881" s="19"/>
      <c r="G5881" s="19"/>
      <c r="N5881" s="19"/>
      <c r="P5881" s="19"/>
      <c r="AL5881" s="19"/>
    </row>
    <row r="5882" spans="1:38" s="11" customFormat="1" x14ac:dyDescent="0.25">
      <c r="A5882" s="3"/>
      <c r="F5882" s="19"/>
      <c r="G5882" s="19"/>
      <c r="N5882" s="19"/>
      <c r="P5882" s="19"/>
      <c r="AL5882" s="19"/>
    </row>
    <row r="5883" spans="1:38" s="11" customFormat="1" x14ac:dyDescent="0.25">
      <c r="A5883" s="3"/>
      <c r="F5883" s="19"/>
      <c r="G5883" s="19"/>
      <c r="N5883" s="19"/>
      <c r="P5883" s="19"/>
      <c r="AL5883" s="19"/>
    </row>
    <row r="5884" spans="1:38" s="11" customFormat="1" x14ac:dyDescent="0.25">
      <c r="A5884" s="3"/>
      <c r="F5884" s="19"/>
      <c r="G5884" s="19"/>
      <c r="N5884" s="19"/>
      <c r="P5884" s="19"/>
      <c r="AL5884" s="19"/>
    </row>
    <row r="5885" spans="1:38" s="11" customFormat="1" x14ac:dyDescent="0.25">
      <c r="A5885" s="3"/>
      <c r="F5885" s="19"/>
      <c r="G5885" s="19"/>
      <c r="N5885" s="19"/>
      <c r="P5885" s="19"/>
      <c r="AL5885" s="19"/>
    </row>
    <row r="5886" spans="1:38" s="11" customFormat="1" x14ac:dyDescent="0.25">
      <c r="A5886" s="3"/>
      <c r="F5886" s="19"/>
      <c r="G5886" s="19"/>
      <c r="N5886" s="19"/>
      <c r="P5886" s="19"/>
      <c r="AL5886" s="19"/>
    </row>
    <row r="5887" spans="1:38" s="11" customFormat="1" x14ac:dyDescent="0.25">
      <c r="A5887" s="3"/>
      <c r="F5887" s="19"/>
      <c r="G5887" s="19"/>
      <c r="N5887" s="19"/>
      <c r="P5887" s="19"/>
      <c r="AL5887" s="19"/>
    </row>
    <row r="5888" spans="1:38" s="11" customFormat="1" x14ac:dyDescent="0.25">
      <c r="A5888" s="3"/>
      <c r="F5888" s="19"/>
      <c r="G5888" s="19"/>
      <c r="N5888" s="19"/>
      <c r="P5888" s="19"/>
      <c r="AL5888" s="19"/>
    </row>
    <row r="5889" spans="1:38" s="11" customFormat="1" x14ac:dyDescent="0.25">
      <c r="A5889" s="3"/>
      <c r="F5889" s="19"/>
      <c r="G5889" s="19"/>
      <c r="N5889" s="19"/>
      <c r="P5889" s="19"/>
      <c r="AL5889" s="19"/>
    </row>
    <row r="5890" spans="1:38" s="11" customFormat="1" x14ac:dyDescent="0.25">
      <c r="A5890" s="3"/>
      <c r="F5890" s="19"/>
      <c r="G5890" s="19"/>
      <c r="N5890" s="19"/>
      <c r="P5890" s="19"/>
      <c r="AL5890" s="19"/>
    </row>
    <row r="5891" spans="1:38" s="11" customFormat="1" x14ac:dyDescent="0.25">
      <c r="A5891" s="3"/>
      <c r="F5891" s="19"/>
      <c r="G5891" s="19"/>
      <c r="N5891" s="19"/>
      <c r="P5891" s="19"/>
      <c r="AL5891" s="19"/>
    </row>
    <row r="5892" spans="1:38" s="11" customFormat="1" x14ac:dyDescent="0.25">
      <c r="A5892" s="3"/>
      <c r="F5892" s="19"/>
      <c r="G5892" s="19"/>
      <c r="N5892" s="19"/>
      <c r="P5892" s="19"/>
      <c r="AL5892" s="19"/>
    </row>
    <row r="5893" spans="1:38" s="11" customFormat="1" x14ac:dyDescent="0.25">
      <c r="A5893" s="3"/>
      <c r="F5893" s="19"/>
      <c r="G5893" s="19"/>
      <c r="N5893" s="19"/>
      <c r="P5893" s="19"/>
      <c r="AL5893" s="19"/>
    </row>
    <row r="5894" spans="1:38" s="11" customFormat="1" x14ac:dyDescent="0.25">
      <c r="A5894" s="3"/>
      <c r="F5894" s="19"/>
      <c r="G5894" s="19"/>
      <c r="N5894" s="19"/>
      <c r="P5894" s="19"/>
      <c r="AL5894" s="19"/>
    </row>
    <row r="5895" spans="1:38" s="11" customFormat="1" x14ac:dyDescent="0.25">
      <c r="A5895" s="3"/>
      <c r="F5895" s="19"/>
      <c r="G5895" s="19"/>
      <c r="N5895" s="19"/>
      <c r="P5895" s="19"/>
      <c r="AL5895" s="19"/>
    </row>
    <row r="5896" spans="1:38" s="11" customFormat="1" x14ac:dyDescent="0.25">
      <c r="A5896" s="3"/>
      <c r="F5896" s="19"/>
      <c r="G5896" s="19"/>
      <c r="N5896" s="19"/>
      <c r="P5896" s="19"/>
      <c r="AL5896" s="19"/>
    </row>
    <row r="5897" spans="1:38" s="11" customFormat="1" x14ac:dyDescent="0.25">
      <c r="A5897" s="3"/>
      <c r="F5897" s="19"/>
      <c r="G5897" s="19"/>
      <c r="N5897" s="19"/>
      <c r="P5897" s="19"/>
      <c r="AL5897" s="19"/>
    </row>
    <row r="5898" spans="1:38" s="11" customFormat="1" x14ac:dyDescent="0.25">
      <c r="A5898" s="3"/>
      <c r="F5898" s="19"/>
      <c r="G5898" s="19"/>
      <c r="N5898" s="19"/>
      <c r="P5898" s="19"/>
      <c r="AL5898" s="19"/>
    </row>
    <row r="5899" spans="1:38" s="11" customFormat="1" x14ac:dyDescent="0.25">
      <c r="A5899" s="3"/>
      <c r="F5899" s="19"/>
      <c r="G5899" s="19"/>
      <c r="N5899" s="19"/>
      <c r="P5899" s="19"/>
      <c r="AL5899" s="19"/>
    </row>
    <row r="5900" spans="1:38" s="11" customFormat="1" x14ac:dyDescent="0.25">
      <c r="A5900" s="3"/>
      <c r="F5900" s="19"/>
      <c r="G5900" s="19"/>
      <c r="N5900" s="19"/>
      <c r="P5900" s="19"/>
      <c r="AL5900" s="19"/>
    </row>
    <row r="5901" spans="1:38" s="11" customFormat="1" x14ac:dyDescent="0.25">
      <c r="A5901" s="3"/>
      <c r="F5901" s="19"/>
      <c r="G5901" s="19"/>
      <c r="N5901" s="19"/>
      <c r="P5901" s="19"/>
      <c r="AL5901" s="19"/>
    </row>
    <row r="5902" spans="1:38" s="11" customFormat="1" x14ac:dyDescent="0.25">
      <c r="A5902" s="3"/>
      <c r="F5902" s="19"/>
      <c r="G5902" s="19"/>
      <c r="N5902" s="19"/>
      <c r="P5902" s="19"/>
      <c r="AL5902" s="19"/>
    </row>
    <row r="5903" spans="1:38" s="11" customFormat="1" x14ac:dyDescent="0.25">
      <c r="A5903" s="3"/>
      <c r="F5903" s="19"/>
      <c r="G5903" s="19"/>
      <c r="N5903" s="19"/>
      <c r="P5903" s="19"/>
      <c r="AL5903" s="19"/>
    </row>
    <row r="5904" spans="1:38" s="11" customFormat="1" x14ac:dyDescent="0.25">
      <c r="A5904" s="3"/>
      <c r="F5904" s="19"/>
      <c r="G5904" s="19"/>
      <c r="N5904" s="19"/>
      <c r="P5904" s="19"/>
      <c r="AL5904" s="19"/>
    </row>
    <row r="5905" spans="1:38" s="11" customFormat="1" x14ac:dyDescent="0.25">
      <c r="A5905" s="3"/>
      <c r="F5905" s="19"/>
      <c r="G5905" s="19"/>
      <c r="N5905" s="19"/>
      <c r="P5905" s="19"/>
      <c r="AL5905" s="19"/>
    </row>
    <row r="5906" spans="1:38" s="11" customFormat="1" x14ac:dyDescent="0.25">
      <c r="A5906" s="3"/>
      <c r="F5906" s="19"/>
      <c r="G5906" s="19"/>
      <c r="N5906" s="19"/>
      <c r="P5906" s="19"/>
      <c r="AL5906" s="19"/>
    </row>
    <row r="5907" spans="1:38" s="11" customFormat="1" x14ac:dyDescent="0.25">
      <c r="A5907" s="3"/>
      <c r="F5907" s="19"/>
      <c r="G5907" s="19"/>
      <c r="N5907" s="19"/>
      <c r="P5907" s="19"/>
      <c r="AL5907" s="19"/>
    </row>
    <row r="5908" spans="1:38" s="11" customFormat="1" x14ac:dyDescent="0.25">
      <c r="A5908" s="3"/>
      <c r="F5908" s="19"/>
      <c r="G5908" s="19"/>
      <c r="N5908" s="19"/>
      <c r="P5908" s="19"/>
      <c r="AL5908" s="19"/>
    </row>
    <row r="5909" spans="1:38" s="11" customFormat="1" x14ac:dyDescent="0.25">
      <c r="A5909" s="3"/>
      <c r="F5909" s="19"/>
      <c r="G5909" s="19"/>
      <c r="N5909" s="19"/>
      <c r="P5909" s="19"/>
      <c r="AL5909" s="19"/>
    </row>
    <row r="5910" spans="1:38" s="11" customFormat="1" x14ac:dyDescent="0.25">
      <c r="A5910" s="3"/>
      <c r="F5910" s="19"/>
      <c r="G5910" s="19"/>
      <c r="N5910" s="19"/>
      <c r="P5910" s="19"/>
      <c r="AL5910" s="19"/>
    </row>
    <row r="5911" spans="1:38" s="11" customFormat="1" x14ac:dyDescent="0.25">
      <c r="A5911" s="3"/>
      <c r="F5911" s="19"/>
      <c r="G5911" s="19"/>
      <c r="N5911" s="19"/>
      <c r="P5911" s="19"/>
      <c r="AL5911" s="19"/>
    </row>
    <row r="5912" spans="1:38" s="11" customFormat="1" x14ac:dyDescent="0.25">
      <c r="A5912" s="3"/>
      <c r="F5912" s="19"/>
      <c r="G5912" s="19"/>
      <c r="N5912" s="19"/>
      <c r="P5912" s="19"/>
      <c r="AL5912" s="19"/>
    </row>
    <row r="5913" spans="1:38" s="11" customFormat="1" x14ac:dyDescent="0.25">
      <c r="A5913" s="3"/>
      <c r="F5913" s="19"/>
      <c r="G5913" s="19"/>
      <c r="N5913" s="19"/>
      <c r="P5913" s="19"/>
      <c r="AL5913" s="19"/>
    </row>
    <row r="5914" spans="1:38" s="11" customFormat="1" x14ac:dyDescent="0.25">
      <c r="A5914" s="3"/>
      <c r="F5914" s="19"/>
      <c r="G5914" s="19"/>
      <c r="N5914" s="19"/>
      <c r="P5914" s="19"/>
      <c r="AL5914" s="19"/>
    </row>
    <row r="5915" spans="1:38" s="11" customFormat="1" x14ac:dyDescent="0.25">
      <c r="A5915" s="3"/>
      <c r="F5915" s="19"/>
      <c r="G5915" s="19"/>
      <c r="N5915" s="19"/>
      <c r="P5915" s="19"/>
      <c r="AL5915" s="19"/>
    </row>
    <row r="5916" spans="1:38" s="11" customFormat="1" x14ac:dyDescent="0.25">
      <c r="A5916" s="3"/>
      <c r="F5916" s="19"/>
      <c r="G5916" s="19"/>
      <c r="N5916" s="19"/>
      <c r="P5916" s="19"/>
      <c r="AL5916" s="19"/>
    </row>
    <row r="5917" spans="1:38" s="11" customFormat="1" x14ac:dyDescent="0.25">
      <c r="A5917" s="3"/>
      <c r="F5917" s="19"/>
      <c r="G5917" s="19"/>
      <c r="N5917" s="19"/>
      <c r="P5917" s="19"/>
      <c r="AL5917" s="19"/>
    </row>
    <row r="5918" spans="1:38" s="11" customFormat="1" x14ac:dyDescent="0.25">
      <c r="A5918" s="3"/>
      <c r="F5918" s="19"/>
      <c r="G5918" s="19"/>
      <c r="N5918" s="19"/>
      <c r="P5918" s="19"/>
      <c r="AL5918" s="19"/>
    </row>
    <row r="5919" spans="1:38" s="11" customFormat="1" x14ac:dyDescent="0.25">
      <c r="A5919" s="3"/>
      <c r="F5919" s="19"/>
      <c r="G5919" s="19"/>
      <c r="N5919" s="19"/>
      <c r="P5919" s="19"/>
      <c r="AL5919" s="19"/>
    </row>
    <row r="5920" spans="1:38" s="11" customFormat="1" x14ac:dyDescent="0.25">
      <c r="A5920" s="3"/>
      <c r="F5920" s="19"/>
      <c r="G5920" s="19"/>
      <c r="N5920" s="19"/>
      <c r="P5920" s="19"/>
      <c r="AL5920" s="19"/>
    </row>
    <row r="5921" spans="1:38" s="11" customFormat="1" x14ac:dyDescent="0.25">
      <c r="A5921" s="3"/>
      <c r="F5921" s="19"/>
      <c r="G5921" s="19"/>
      <c r="N5921" s="19"/>
      <c r="P5921" s="19"/>
      <c r="AL5921" s="19"/>
    </row>
    <row r="5922" spans="1:38" s="11" customFormat="1" x14ac:dyDescent="0.25">
      <c r="A5922" s="3"/>
      <c r="F5922" s="19"/>
      <c r="G5922" s="19"/>
      <c r="N5922" s="19"/>
      <c r="P5922" s="19"/>
      <c r="AL5922" s="19"/>
    </row>
    <row r="5923" spans="1:38" s="11" customFormat="1" x14ac:dyDescent="0.25">
      <c r="A5923" s="3"/>
      <c r="F5923" s="19"/>
      <c r="G5923" s="19"/>
      <c r="N5923" s="19"/>
      <c r="P5923" s="19"/>
      <c r="AL5923" s="19"/>
    </row>
    <row r="5924" spans="1:38" s="11" customFormat="1" x14ac:dyDescent="0.25">
      <c r="A5924" s="3"/>
      <c r="F5924" s="19"/>
      <c r="G5924" s="19"/>
      <c r="N5924" s="19"/>
      <c r="P5924" s="19"/>
      <c r="AL5924" s="19"/>
    </row>
    <row r="5925" spans="1:38" s="11" customFormat="1" x14ac:dyDescent="0.25">
      <c r="A5925" s="3"/>
      <c r="F5925" s="19"/>
      <c r="G5925" s="19"/>
      <c r="N5925" s="19"/>
      <c r="P5925" s="19"/>
      <c r="AL5925" s="19"/>
    </row>
    <row r="5926" spans="1:38" s="11" customFormat="1" x14ac:dyDescent="0.25">
      <c r="A5926" s="3"/>
      <c r="F5926" s="19"/>
      <c r="G5926" s="19"/>
      <c r="N5926" s="19"/>
      <c r="P5926" s="19"/>
      <c r="AL5926" s="19"/>
    </row>
    <row r="5927" spans="1:38" s="11" customFormat="1" x14ac:dyDescent="0.25">
      <c r="A5927" s="3"/>
      <c r="F5927" s="19"/>
      <c r="G5927" s="19"/>
      <c r="N5927" s="19"/>
      <c r="P5927" s="19"/>
      <c r="AL5927" s="19"/>
    </row>
    <row r="5928" spans="1:38" s="11" customFormat="1" x14ac:dyDescent="0.25">
      <c r="A5928" s="3"/>
      <c r="F5928" s="19"/>
      <c r="G5928" s="19"/>
      <c r="N5928" s="19"/>
      <c r="P5928" s="19"/>
      <c r="AL5928" s="19"/>
    </row>
    <row r="5929" spans="1:38" s="11" customFormat="1" x14ac:dyDescent="0.25">
      <c r="A5929" s="3"/>
      <c r="F5929" s="19"/>
      <c r="G5929" s="19"/>
      <c r="N5929" s="19"/>
      <c r="P5929" s="19"/>
      <c r="AL5929" s="19"/>
    </row>
    <row r="5930" spans="1:38" s="11" customFormat="1" x14ac:dyDescent="0.25">
      <c r="A5930" s="3"/>
      <c r="F5930" s="19"/>
      <c r="G5930" s="19"/>
      <c r="N5930" s="19"/>
      <c r="P5930" s="19"/>
      <c r="AL5930" s="19"/>
    </row>
    <row r="5931" spans="1:38" s="11" customFormat="1" x14ac:dyDescent="0.25">
      <c r="A5931" s="3"/>
      <c r="F5931" s="19"/>
      <c r="G5931" s="19"/>
      <c r="N5931" s="19"/>
      <c r="P5931" s="19"/>
      <c r="AL5931" s="19"/>
    </row>
    <row r="5932" spans="1:38" s="11" customFormat="1" x14ac:dyDescent="0.25">
      <c r="A5932" s="3"/>
      <c r="F5932" s="19"/>
      <c r="G5932" s="19"/>
      <c r="N5932" s="19"/>
      <c r="P5932" s="19"/>
      <c r="AL5932" s="19"/>
    </row>
    <row r="5933" spans="1:38" s="11" customFormat="1" x14ac:dyDescent="0.25">
      <c r="A5933" s="3"/>
      <c r="F5933" s="19"/>
      <c r="G5933" s="19"/>
      <c r="N5933" s="19"/>
      <c r="P5933" s="19"/>
      <c r="AL5933" s="19"/>
    </row>
    <row r="5934" spans="1:38" s="11" customFormat="1" x14ac:dyDescent="0.25">
      <c r="A5934" s="3"/>
      <c r="F5934" s="19"/>
      <c r="G5934" s="19"/>
      <c r="N5934" s="19"/>
      <c r="P5934" s="19"/>
      <c r="AL5934" s="19"/>
    </row>
    <row r="5935" spans="1:38" s="11" customFormat="1" x14ac:dyDescent="0.25">
      <c r="A5935" s="3"/>
      <c r="F5935" s="19"/>
      <c r="G5935" s="19"/>
      <c r="N5935" s="19"/>
      <c r="P5935" s="19"/>
      <c r="AL5935" s="19"/>
    </row>
    <row r="5936" spans="1:38" s="11" customFormat="1" x14ac:dyDescent="0.25">
      <c r="A5936" s="3"/>
      <c r="F5936" s="19"/>
      <c r="G5936" s="19"/>
      <c r="N5936" s="19"/>
      <c r="P5936" s="19"/>
      <c r="AL5936" s="19"/>
    </row>
    <row r="5937" spans="1:38" s="11" customFormat="1" x14ac:dyDescent="0.25">
      <c r="A5937" s="3"/>
      <c r="F5937" s="19"/>
      <c r="G5937" s="19"/>
      <c r="N5937" s="19"/>
      <c r="P5937" s="19"/>
      <c r="AL5937" s="19"/>
    </row>
    <row r="5938" spans="1:38" s="11" customFormat="1" x14ac:dyDescent="0.25">
      <c r="A5938" s="3"/>
      <c r="F5938" s="19"/>
      <c r="G5938" s="19"/>
      <c r="N5938" s="19"/>
      <c r="P5938" s="19"/>
      <c r="AL5938" s="19"/>
    </row>
    <row r="5939" spans="1:38" s="11" customFormat="1" x14ac:dyDescent="0.25">
      <c r="A5939" s="3"/>
      <c r="F5939" s="19"/>
      <c r="G5939" s="19"/>
      <c r="N5939" s="19"/>
      <c r="P5939" s="19"/>
      <c r="AL5939" s="19"/>
    </row>
    <row r="5940" spans="1:38" s="11" customFormat="1" x14ac:dyDescent="0.25">
      <c r="A5940" s="3"/>
      <c r="F5940" s="19"/>
      <c r="G5940" s="19"/>
      <c r="N5940" s="19"/>
      <c r="P5940" s="19"/>
      <c r="AL5940" s="19"/>
    </row>
    <row r="5941" spans="1:38" s="11" customFormat="1" x14ac:dyDescent="0.25">
      <c r="A5941" s="3"/>
      <c r="F5941" s="19"/>
      <c r="G5941" s="19"/>
      <c r="N5941" s="19"/>
      <c r="P5941" s="19"/>
      <c r="AL5941" s="19"/>
    </row>
    <row r="5942" spans="1:38" s="11" customFormat="1" x14ac:dyDescent="0.25">
      <c r="A5942" s="3"/>
      <c r="F5942" s="19"/>
      <c r="G5942" s="19"/>
      <c r="N5942" s="19"/>
      <c r="P5942" s="19"/>
      <c r="AL5942" s="19"/>
    </row>
    <row r="5943" spans="1:38" s="11" customFormat="1" x14ac:dyDescent="0.25">
      <c r="A5943" s="3"/>
      <c r="F5943" s="19"/>
      <c r="G5943" s="19"/>
      <c r="N5943" s="19"/>
      <c r="P5943" s="19"/>
      <c r="AL5943" s="19"/>
    </row>
    <row r="5944" spans="1:38" s="11" customFormat="1" x14ac:dyDescent="0.25">
      <c r="A5944" s="3"/>
      <c r="F5944" s="19"/>
      <c r="G5944" s="19"/>
      <c r="N5944" s="19"/>
      <c r="P5944" s="19"/>
      <c r="AL5944" s="19"/>
    </row>
    <row r="5945" spans="1:38" s="11" customFormat="1" x14ac:dyDescent="0.25">
      <c r="A5945" s="3"/>
      <c r="F5945" s="19"/>
      <c r="G5945" s="19"/>
      <c r="N5945" s="19"/>
      <c r="P5945" s="19"/>
      <c r="AL5945" s="19"/>
    </row>
    <row r="5946" spans="1:38" s="11" customFormat="1" x14ac:dyDescent="0.25">
      <c r="A5946" s="3"/>
      <c r="F5946" s="19"/>
      <c r="G5946" s="19"/>
      <c r="N5946" s="19"/>
      <c r="P5946" s="19"/>
      <c r="AL5946" s="19"/>
    </row>
    <row r="5947" spans="1:38" s="11" customFormat="1" x14ac:dyDescent="0.25">
      <c r="A5947" s="3"/>
      <c r="F5947" s="19"/>
      <c r="G5947" s="19"/>
      <c r="N5947" s="19"/>
      <c r="P5947" s="19"/>
      <c r="AL5947" s="19"/>
    </row>
    <row r="5948" spans="1:38" s="11" customFormat="1" x14ac:dyDescent="0.25">
      <c r="A5948" s="3"/>
      <c r="F5948" s="19"/>
      <c r="G5948" s="19"/>
      <c r="N5948" s="19"/>
      <c r="P5948" s="19"/>
      <c r="AL5948" s="19"/>
    </row>
    <row r="5949" spans="1:38" s="11" customFormat="1" x14ac:dyDescent="0.25">
      <c r="A5949" s="3"/>
      <c r="F5949" s="19"/>
      <c r="G5949" s="19"/>
      <c r="N5949" s="19"/>
      <c r="P5949" s="19"/>
      <c r="AL5949" s="19"/>
    </row>
    <row r="5950" spans="1:38" s="11" customFormat="1" x14ac:dyDescent="0.25">
      <c r="A5950" s="3"/>
      <c r="F5950" s="19"/>
      <c r="G5950" s="19"/>
      <c r="N5950" s="19"/>
      <c r="P5950" s="19"/>
      <c r="AL5950" s="19"/>
    </row>
    <row r="5951" spans="1:38" s="11" customFormat="1" x14ac:dyDescent="0.25">
      <c r="A5951" s="3"/>
      <c r="F5951" s="19"/>
      <c r="G5951" s="19"/>
      <c r="N5951" s="19"/>
      <c r="P5951" s="19"/>
      <c r="AL5951" s="19"/>
    </row>
    <row r="5952" spans="1:38" s="11" customFormat="1" x14ac:dyDescent="0.25">
      <c r="A5952" s="3"/>
      <c r="F5952" s="19"/>
      <c r="G5952" s="19"/>
      <c r="N5952" s="19"/>
      <c r="P5952" s="19"/>
      <c r="AL5952" s="19"/>
    </row>
    <row r="5953" spans="1:38" s="11" customFormat="1" x14ac:dyDescent="0.25">
      <c r="A5953" s="3"/>
      <c r="F5953" s="19"/>
      <c r="G5953" s="19"/>
      <c r="N5953" s="19"/>
      <c r="P5953" s="19"/>
      <c r="AL5953" s="19"/>
    </row>
    <row r="5954" spans="1:38" s="11" customFormat="1" x14ac:dyDescent="0.25">
      <c r="A5954" s="3"/>
      <c r="F5954" s="19"/>
      <c r="G5954" s="19"/>
      <c r="N5954" s="19"/>
      <c r="P5954" s="19"/>
      <c r="AL5954" s="19"/>
    </row>
    <row r="5955" spans="1:38" s="11" customFormat="1" x14ac:dyDescent="0.25">
      <c r="A5955" s="3"/>
      <c r="F5955" s="19"/>
      <c r="G5955" s="19"/>
      <c r="N5955" s="19"/>
      <c r="P5955" s="19"/>
      <c r="AL5955" s="19"/>
    </row>
    <row r="5956" spans="1:38" s="11" customFormat="1" x14ac:dyDescent="0.25">
      <c r="A5956" s="3"/>
      <c r="F5956" s="19"/>
      <c r="G5956" s="19"/>
      <c r="N5956" s="19"/>
      <c r="P5956" s="19"/>
      <c r="AL5956" s="19"/>
    </row>
    <row r="5957" spans="1:38" s="11" customFormat="1" x14ac:dyDescent="0.25">
      <c r="A5957" s="3"/>
      <c r="F5957" s="19"/>
      <c r="G5957" s="19"/>
      <c r="N5957" s="19"/>
      <c r="P5957" s="19"/>
      <c r="AL5957" s="19"/>
    </row>
    <row r="5958" spans="1:38" s="11" customFormat="1" x14ac:dyDescent="0.25">
      <c r="A5958" s="3"/>
      <c r="F5958" s="19"/>
      <c r="G5958" s="19"/>
      <c r="N5958" s="19"/>
      <c r="P5958" s="19"/>
      <c r="AL5958" s="19"/>
    </row>
    <row r="5959" spans="1:38" s="11" customFormat="1" x14ac:dyDescent="0.25">
      <c r="A5959" s="3"/>
      <c r="F5959" s="19"/>
      <c r="G5959" s="19"/>
      <c r="N5959" s="19"/>
      <c r="P5959" s="19"/>
      <c r="AL5959" s="19"/>
    </row>
    <row r="5960" spans="1:38" s="11" customFormat="1" x14ac:dyDescent="0.25">
      <c r="A5960" s="3"/>
      <c r="F5960" s="19"/>
      <c r="G5960" s="19"/>
      <c r="N5960" s="19"/>
      <c r="P5960" s="19"/>
      <c r="AL5960" s="19"/>
    </row>
    <row r="5961" spans="1:38" s="11" customFormat="1" x14ac:dyDescent="0.25">
      <c r="A5961" s="3"/>
      <c r="F5961" s="19"/>
      <c r="G5961" s="19"/>
      <c r="N5961" s="19"/>
      <c r="P5961" s="19"/>
      <c r="AL5961" s="19"/>
    </row>
    <row r="5962" spans="1:38" s="11" customFormat="1" x14ac:dyDescent="0.25">
      <c r="A5962" s="3"/>
      <c r="F5962" s="19"/>
      <c r="G5962" s="19"/>
      <c r="N5962" s="19"/>
      <c r="P5962" s="19"/>
      <c r="AL5962" s="19"/>
    </row>
    <row r="5963" spans="1:38" s="11" customFormat="1" x14ac:dyDescent="0.25">
      <c r="A5963" s="3"/>
      <c r="F5963" s="19"/>
      <c r="G5963" s="19"/>
      <c r="N5963" s="19"/>
      <c r="P5963" s="19"/>
      <c r="AL5963" s="19"/>
    </row>
    <row r="5964" spans="1:38" s="11" customFormat="1" x14ac:dyDescent="0.25">
      <c r="A5964" s="3"/>
      <c r="F5964" s="19"/>
      <c r="G5964" s="19"/>
      <c r="N5964" s="19"/>
      <c r="P5964" s="19"/>
      <c r="AL5964" s="19"/>
    </row>
    <row r="5965" spans="1:38" s="11" customFormat="1" x14ac:dyDescent="0.25">
      <c r="A5965" s="3"/>
      <c r="F5965" s="19"/>
      <c r="G5965" s="19"/>
      <c r="N5965" s="19"/>
      <c r="P5965" s="19"/>
      <c r="AL5965" s="19"/>
    </row>
    <row r="5966" spans="1:38" s="11" customFormat="1" x14ac:dyDescent="0.25">
      <c r="A5966" s="3"/>
      <c r="F5966" s="19"/>
      <c r="G5966" s="19"/>
      <c r="N5966" s="19"/>
      <c r="P5966" s="19"/>
      <c r="AL5966" s="19"/>
    </row>
    <row r="5967" spans="1:38" s="11" customFormat="1" x14ac:dyDescent="0.25">
      <c r="A5967" s="3"/>
      <c r="F5967" s="19"/>
      <c r="G5967" s="19"/>
      <c r="N5967" s="19"/>
      <c r="P5967" s="19"/>
      <c r="AL5967" s="19"/>
    </row>
    <row r="5968" spans="1:38" s="11" customFormat="1" x14ac:dyDescent="0.25">
      <c r="A5968" s="3"/>
      <c r="F5968" s="19"/>
      <c r="G5968" s="19"/>
      <c r="N5968" s="19"/>
      <c r="P5968" s="19"/>
      <c r="AL5968" s="19"/>
    </row>
    <row r="5969" spans="1:38" s="11" customFormat="1" x14ac:dyDescent="0.25">
      <c r="A5969" s="3"/>
      <c r="F5969" s="19"/>
      <c r="G5969" s="19"/>
      <c r="N5969" s="19"/>
      <c r="P5969" s="19"/>
      <c r="AL5969" s="19"/>
    </row>
    <row r="5970" spans="1:38" s="11" customFormat="1" x14ac:dyDescent="0.25">
      <c r="A5970" s="3"/>
      <c r="F5970" s="19"/>
      <c r="G5970" s="19"/>
      <c r="N5970" s="19"/>
      <c r="P5970" s="19"/>
      <c r="AL5970" s="19"/>
    </row>
    <row r="5971" spans="1:38" s="11" customFormat="1" x14ac:dyDescent="0.25">
      <c r="A5971" s="3"/>
      <c r="F5971" s="19"/>
      <c r="G5971" s="19"/>
      <c r="N5971" s="19"/>
      <c r="P5971" s="19"/>
      <c r="AL5971" s="19"/>
    </row>
    <row r="5972" spans="1:38" s="11" customFormat="1" x14ac:dyDescent="0.25">
      <c r="A5972" s="3"/>
      <c r="F5972" s="19"/>
      <c r="G5972" s="19"/>
      <c r="N5972" s="19"/>
      <c r="P5972" s="19"/>
      <c r="AL5972" s="19"/>
    </row>
    <row r="5973" spans="1:38" s="11" customFormat="1" x14ac:dyDescent="0.25">
      <c r="A5973" s="3"/>
      <c r="F5973" s="19"/>
      <c r="G5973" s="19"/>
      <c r="N5973" s="19"/>
      <c r="P5973" s="19"/>
      <c r="AL5973" s="19"/>
    </row>
    <row r="5974" spans="1:38" s="11" customFormat="1" x14ac:dyDescent="0.25">
      <c r="A5974" s="3"/>
      <c r="F5974" s="19"/>
      <c r="G5974" s="19"/>
      <c r="N5974" s="19"/>
      <c r="P5974" s="19"/>
      <c r="AL5974" s="19"/>
    </row>
    <row r="5975" spans="1:38" s="11" customFormat="1" x14ac:dyDescent="0.25">
      <c r="A5975" s="3"/>
      <c r="F5975" s="19"/>
      <c r="G5975" s="19"/>
      <c r="N5975" s="19"/>
      <c r="P5975" s="19"/>
      <c r="AL5975" s="19"/>
    </row>
    <row r="5976" spans="1:38" s="11" customFormat="1" x14ac:dyDescent="0.25">
      <c r="A5976" s="3"/>
      <c r="F5976" s="19"/>
      <c r="G5976" s="19"/>
      <c r="N5976" s="19"/>
      <c r="P5976" s="19"/>
      <c r="AL5976" s="19"/>
    </row>
    <row r="5977" spans="1:38" s="11" customFormat="1" x14ac:dyDescent="0.25">
      <c r="A5977" s="3"/>
      <c r="F5977" s="19"/>
      <c r="G5977" s="19"/>
      <c r="N5977" s="19"/>
      <c r="P5977" s="19"/>
      <c r="AL5977" s="19"/>
    </row>
    <row r="5978" spans="1:38" s="11" customFormat="1" x14ac:dyDescent="0.25">
      <c r="A5978" s="3"/>
      <c r="F5978" s="19"/>
      <c r="G5978" s="19"/>
      <c r="N5978" s="19"/>
      <c r="P5978" s="19"/>
      <c r="AL5978" s="19"/>
    </row>
    <row r="5979" spans="1:38" s="11" customFormat="1" x14ac:dyDescent="0.25">
      <c r="A5979" s="3"/>
      <c r="F5979" s="19"/>
      <c r="G5979" s="19"/>
      <c r="N5979" s="19"/>
      <c r="P5979" s="19"/>
      <c r="AL5979" s="19"/>
    </row>
    <row r="5980" spans="1:38" s="11" customFormat="1" x14ac:dyDescent="0.25">
      <c r="A5980" s="3"/>
      <c r="F5980" s="19"/>
      <c r="G5980" s="19"/>
      <c r="N5980" s="19"/>
      <c r="P5980" s="19"/>
      <c r="AL5980" s="19"/>
    </row>
    <row r="5981" spans="1:38" s="11" customFormat="1" x14ac:dyDescent="0.25">
      <c r="A5981" s="3"/>
      <c r="F5981" s="19"/>
      <c r="G5981" s="19"/>
      <c r="N5981" s="19"/>
      <c r="P5981" s="19"/>
      <c r="AL5981" s="19"/>
    </row>
    <row r="5982" spans="1:38" s="11" customFormat="1" x14ac:dyDescent="0.25">
      <c r="A5982" s="3"/>
      <c r="F5982" s="19"/>
      <c r="G5982" s="19"/>
      <c r="N5982" s="19"/>
      <c r="P5982" s="19"/>
      <c r="AL5982" s="19"/>
    </row>
    <row r="5983" spans="1:38" s="11" customFormat="1" x14ac:dyDescent="0.25">
      <c r="A5983" s="3"/>
      <c r="F5983" s="19"/>
      <c r="G5983" s="19"/>
      <c r="N5983" s="19"/>
      <c r="P5983" s="19"/>
      <c r="AL5983" s="19"/>
    </row>
    <row r="5984" spans="1:38" s="11" customFormat="1" x14ac:dyDescent="0.25">
      <c r="A5984" s="3"/>
      <c r="F5984" s="19"/>
      <c r="G5984" s="19"/>
      <c r="N5984" s="19"/>
      <c r="P5984" s="19"/>
      <c r="AL5984" s="19"/>
    </row>
    <row r="5985" spans="1:38" s="11" customFormat="1" x14ac:dyDescent="0.25">
      <c r="A5985" s="3"/>
      <c r="F5985" s="19"/>
      <c r="G5985" s="19"/>
      <c r="N5985" s="19"/>
      <c r="P5985" s="19"/>
      <c r="AL5985" s="19"/>
    </row>
    <row r="5986" spans="1:38" s="11" customFormat="1" x14ac:dyDescent="0.25">
      <c r="A5986" s="3"/>
      <c r="F5986" s="19"/>
      <c r="G5986" s="19"/>
      <c r="N5986" s="19"/>
      <c r="P5986" s="19"/>
      <c r="AL5986" s="19"/>
    </row>
    <row r="5987" spans="1:38" s="11" customFormat="1" x14ac:dyDescent="0.25">
      <c r="A5987" s="3"/>
      <c r="F5987" s="19"/>
      <c r="G5987" s="19"/>
      <c r="N5987" s="19"/>
      <c r="P5987" s="19"/>
      <c r="AL5987" s="19"/>
    </row>
    <row r="5988" spans="1:38" s="11" customFormat="1" x14ac:dyDescent="0.25">
      <c r="A5988" s="3"/>
      <c r="F5988" s="19"/>
      <c r="G5988" s="19"/>
      <c r="N5988" s="19"/>
      <c r="P5988" s="19"/>
      <c r="AL5988" s="19"/>
    </row>
    <row r="5989" spans="1:38" s="11" customFormat="1" x14ac:dyDescent="0.25">
      <c r="A5989" s="3"/>
      <c r="F5989" s="19"/>
      <c r="G5989" s="19"/>
      <c r="N5989" s="19"/>
      <c r="P5989" s="19"/>
      <c r="AL5989" s="19"/>
    </row>
    <row r="5990" spans="1:38" s="11" customFormat="1" x14ac:dyDescent="0.25">
      <c r="A5990" s="3"/>
      <c r="F5990" s="19"/>
      <c r="G5990" s="19"/>
      <c r="N5990" s="19"/>
      <c r="P5990" s="19"/>
      <c r="AL5990" s="19"/>
    </row>
    <row r="5991" spans="1:38" s="11" customFormat="1" x14ac:dyDescent="0.25">
      <c r="A5991" s="3"/>
      <c r="F5991" s="19"/>
      <c r="G5991" s="19"/>
      <c r="N5991" s="19"/>
      <c r="P5991" s="19"/>
      <c r="AL5991" s="19"/>
    </row>
    <row r="5992" spans="1:38" s="11" customFormat="1" x14ac:dyDescent="0.25">
      <c r="A5992" s="3"/>
      <c r="F5992" s="19"/>
      <c r="G5992" s="19"/>
      <c r="N5992" s="19"/>
      <c r="P5992" s="19"/>
      <c r="AL5992" s="19"/>
    </row>
    <row r="5993" spans="1:38" s="11" customFormat="1" x14ac:dyDescent="0.25">
      <c r="A5993" s="3"/>
      <c r="F5993" s="19"/>
      <c r="G5993" s="19"/>
      <c r="N5993" s="19"/>
      <c r="P5993" s="19"/>
      <c r="AL5993" s="19"/>
    </row>
    <row r="5994" spans="1:38" s="11" customFormat="1" x14ac:dyDescent="0.25">
      <c r="A5994" s="3"/>
      <c r="F5994" s="19"/>
      <c r="G5994" s="19"/>
      <c r="N5994" s="19"/>
      <c r="P5994" s="19"/>
      <c r="AL5994" s="19"/>
    </row>
    <row r="5995" spans="1:38" s="11" customFormat="1" x14ac:dyDescent="0.25">
      <c r="A5995" s="3"/>
      <c r="F5995" s="19"/>
      <c r="G5995" s="19"/>
      <c r="N5995" s="19"/>
      <c r="P5995" s="19"/>
      <c r="AL5995" s="19"/>
    </row>
    <row r="5996" spans="1:38" s="11" customFormat="1" x14ac:dyDescent="0.25">
      <c r="A5996" s="3"/>
      <c r="F5996" s="19"/>
      <c r="G5996" s="19"/>
      <c r="N5996" s="19"/>
      <c r="P5996" s="19"/>
      <c r="AL5996" s="19"/>
    </row>
    <row r="5997" spans="1:38" s="11" customFormat="1" x14ac:dyDescent="0.25">
      <c r="A5997" s="3"/>
      <c r="F5997" s="19"/>
      <c r="G5997" s="19"/>
      <c r="N5997" s="19"/>
      <c r="P5997" s="19"/>
      <c r="AL5997" s="19"/>
    </row>
    <row r="5998" spans="1:38" s="11" customFormat="1" x14ac:dyDescent="0.25">
      <c r="A5998" s="3"/>
      <c r="F5998" s="19"/>
      <c r="G5998" s="19"/>
      <c r="N5998" s="19"/>
      <c r="P5998" s="19"/>
      <c r="AL5998" s="19"/>
    </row>
    <row r="5999" spans="1:38" s="11" customFormat="1" x14ac:dyDescent="0.25">
      <c r="A5999" s="3"/>
      <c r="F5999" s="19"/>
      <c r="G5999" s="19"/>
      <c r="N5999" s="19"/>
      <c r="P5999" s="19"/>
      <c r="AL5999" s="19"/>
    </row>
    <row r="6000" spans="1:38" s="11" customFormat="1" x14ac:dyDescent="0.25">
      <c r="A6000" s="3"/>
      <c r="F6000" s="19"/>
      <c r="G6000" s="19"/>
      <c r="N6000" s="19"/>
      <c r="P6000" s="19"/>
      <c r="AL6000" s="19"/>
    </row>
    <row r="6001" spans="1:38" s="11" customFormat="1" x14ac:dyDescent="0.25">
      <c r="A6001" s="3"/>
      <c r="F6001" s="19"/>
      <c r="G6001" s="19"/>
      <c r="N6001" s="19"/>
      <c r="P6001" s="19"/>
      <c r="AL6001" s="19"/>
    </row>
    <row r="6002" spans="1:38" s="11" customFormat="1" x14ac:dyDescent="0.25">
      <c r="A6002" s="3"/>
      <c r="F6002" s="19"/>
      <c r="G6002" s="19"/>
      <c r="N6002" s="19"/>
      <c r="P6002" s="19"/>
      <c r="AL6002" s="19"/>
    </row>
    <row r="6003" spans="1:38" s="11" customFormat="1" x14ac:dyDescent="0.25">
      <c r="A6003" s="3"/>
      <c r="F6003" s="19"/>
      <c r="G6003" s="19"/>
      <c r="N6003" s="19"/>
      <c r="P6003" s="19"/>
      <c r="AL6003" s="19"/>
    </row>
    <row r="6004" spans="1:38" s="11" customFormat="1" x14ac:dyDescent="0.25">
      <c r="A6004" s="3"/>
      <c r="F6004" s="19"/>
      <c r="G6004" s="19"/>
      <c r="N6004" s="19"/>
      <c r="P6004" s="19"/>
      <c r="AL6004" s="19"/>
    </row>
    <row r="6005" spans="1:38" s="11" customFormat="1" x14ac:dyDescent="0.25">
      <c r="A6005" s="3"/>
      <c r="F6005" s="19"/>
      <c r="G6005" s="19"/>
      <c r="N6005" s="19"/>
      <c r="P6005" s="19"/>
      <c r="AL6005" s="19"/>
    </row>
    <row r="6006" spans="1:38" s="11" customFormat="1" x14ac:dyDescent="0.25">
      <c r="A6006" s="3"/>
      <c r="F6006" s="19"/>
      <c r="G6006" s="19"/>
      <c r="N6006" s="19"/>
      <c r="P6006" s="19"/>
      <c r="AL6006" s="19"/>
    </row>
    <row r="6007" spans="1:38" s="11" customFormat="1" x14ac:dyDescent="0.25">
      <c r="A6007" s="3"/>
      <c r="F6007" s="19"/>
      <c r="G6007" s="19"/>
      <c r="N6007" s="19"/>
      <c r="P6007" s="19"/>
      <c r="AL6007" s="19"/>
    </row>
    <row r="6008" spans="1:38" s="11" customFormat="1" x14ac:dyDescent="0.25">
      <c r="A6008" s="3"/>
      <c r="F6008" s="19"/>
      <c r="G6008" s="19"/>
      <c r="N6008" s="19"/>
      <c r="P6008" s="19"/>
      <c r="AL6008" s="19"/>
    </row>
    <row r="6009" spans="1:38" s="11" customFormat="1" x14ac:dyDescent="0.25">
      <c r="A6009" s="3"/>
      <c r="F6009" s="19"/>
      <c r="G6009" s="19"/>
      <c r="N6009" s="19"/>
      <c r="P6009" s="19"/>
      <c r="AL6009" s="19"/>
    </row>
    <row r="6010" spans="1:38" s="11" customFormat="1" x14ac:dyDescent="0.25">
      <c r="A6010" s="3"/>
      <c r="F6010" s="19"/>
      <c r="G6010" s="19"/>
      <c r="N6010" s="19"/>
      <c r="P6010" s="19"/>
      <c r="AL6010" s="19"/>
    </row>
    <row r="6011" spans="1:38" s="11" customFormat="1" x14ac:dyDescent="0.25">
      <c r="A6011" s="3"/>
      <c r="F6011" s="19"/>
      <c r="G6011" s="19"/>
      <c r="N6011" s="19"/>
      <c r="P6011" s="19"/>
      <c r="AL6011" s="19"/>
    </row>
    <row r="6012" spans="1:38" s="11" customFormat="1" x14ac:dyDescent="0.25">
      <c r="A6012" s="3"/>
      <c r="F6012" s="19"/>
      <c r="G6012" s="19"/>
      <c r="N6012" s="19"/>
      <c r="P6012" s="19"/>
      <c r="AL6012" s="19"/>
    </row>
    <row r="6013" spans="1:38" s="11" customFormat="1" x14ac:dyDescent="0.25">
      <c r="A6013" s="3"/>
      <c r="F6013" s="19"/>
      <c r="G6013" s="19"/>
      <c r="N6013" s="19"/>
      <c r="P6013" s="19"/>
      <c r="AL6013" s="19"/>
    </row>
    <row r="6014" spans="1:38" s="11" customFormat="1" x14ac:dyDescent="0.25">
      <c r="A6014" s="3"/>
      <c r="F6014" s="19"/>
      <c r="G6014" s="19"/>
      <c r="N6014" s="19"/>
      <c r="P6014" s="19"/>
      <c r="AL6014" s="19"/>
    </row>
    <row r="6015" spans="1:38" s="11" customFormat="1" x14ac:dyDescent="0.25">
      <c r="A6015" s="3"/>
      <c r="F6015" s="19"/>
      <c r="G6015" s="19"/>
      <c r="N6015" s="19"/>
      <c r="P6015" s="19"/>
      <c r="AL6015" s="19"/>
    </row>
    <row r="6016" spans="1:38" s="11" customFormat="1" x14ac:dyDescent="0.25">
      <c r="A6016" s="3"/>
      <c r="F6016" s="19"/>
      <c r="G6016" s="19"/>
      <c r="N6016" s="19"/>
      <c r="P6016" s="19"/>
      <c r="AL6016" s="19"/>
    </row>
    <row r="6017" spans="1:38" s="11" customFormat="1" x14ac:dyDescent="0.25">
      <c r="A6017" s="3"/>
      <c r="F6017" s="19"/>
      <c r="G6017" s="19"/>
      <c r="N6017" s="19"/>
      <c r="P6017" s="19"/>
      <c r="AL6017" s="19"/>
    </row>
    <row r="6018" spans="1:38" s="11" customFormat="1" x14ac:dyDescent="0.25">
      <c r="A6018" s="3"/>
      <c r="F6018" s="19"/>
      <c r="G6018" s="19"/>
      <c r="N6018" s="19"/>
      <c r="P6018" s="19"/>
      <c r="AL6018" s="19"/>
    </row>
    <row r="6019" spans="1:38" s="11" customFormat="1" x14ac:dyDescent="0.25">
      <c r="A6019" s="3"/>
      <c r="F6019" s="19"/>
      <c r="G6019" s="19"/>
      <c r="N6019" s="19"/>
      <c r="P6019" s="19"/>
      <c r="AL6019" s="19"/>
    </row>
    <row r="6020" spans="1:38" s="11" customFormat="1" x14ac:dyDescent="0.25">
      <c r="A6020" s="3"/>
      <c r="F6020" s="19"/>
      <c r="G6020" s="19"/>
      <c r="N6020" s="19"/>
      <c r="P6020" s="19"/>
      <c r="AL6020" s="19"/>
    </row>
    <row r="6021" spans="1:38" s="11" customFormat="1" x14ac:dyDescent="0.25">
      <c r="A6021" s="3"/>
      <c r="F6021" s="19"/>
      <c r="G6021" s="19"/>
      <c r="N6021" s="19"/>
      <c r="P6021" s="19"/>
      <c r="AL6021" s="19"/>
    </row>
    <row r="6022" spans="1:38" s="11" customFormat="1" x14ac:dyDescent="0.25">
      <c r="A6022" s="3"/>
      <c r="F6022" s="19"/>
      <c r="G6022" s="19"/>
      <c r="N6022" s="19"/>
      <c r="P6022" s="19"/>
      <c r="AL6022" s="19"/>
    </row>
    <row r="6023" spans="1:38" s="11" customFormat="1" x14ac:dyDescent="0.25">
      <c r="A6023" s="3"/>
      <c r="F6023" s="19"/>
      <c r="G6023" s="19"/>
      <c r="N6023" s="19"/>
      <c r="P6023" s="19"/>
      <c r="AL6023" s="19"/>
    </row>
    <row r="6024" spans="1:38" s="11" customFormat="1" x14ac:dyDescent="0.25">
      <c r="A6024" s="3"/>
      <c r="F6024" s="19"/>
      <c r="G6024" s="19"/>
      <c r="N6024" s="19"/>
      <c r="P6024" s="19"/>
      <c r="AL6024" s="19"/>
    </row>
    <row r="6025" spans="1:38" s="11" customFormat="1" x14ac:dyDescent="0.25">
      <c r="A6025" s="3"/>
      <c r="F6025" s="19"/>
      <c r="G6025" s="19"/>
      <c r="N6025" s="19"/>
      <c r="P6025" s="19"/>
      <c r="AL6025" s="19"/>
    </row>
    <row r="6026" spans="1:38" s="11" customFormat="1" x14ac:dyDescent="0.25">
      <c r="A6026" s="3"/>
      <c r="F6026" s="19"/>
      <c r="G6026" s="19"/>
      <c r="N6026" s="19"/>
      <c r="P6026" s="19"/>
      <c r="AL6026" s="19"/>
    </row>
    <row r="6027" spans="1:38" s="11" customFormat="1" x14ac:dyDescent="0.25">
      <c r="A6027" s="3"/>
      <c r="F6027" s="19"/>
      <c r="G6027" s="19"/>
      <c r="N6027" s="19"/>
      <c r="P6027" s="19"/>
      <c r="AL6027" s="19"/>
    </row>
    <row r="6028" spans="1:38" s="11" customFormat="1" x14ac:dyDescent="0.25">
      <c r="A6028" s="3"/>
      <c r="F6028" s="19"/>
      <c r="G6028" s="19"/>
      <c r="N6028" s="19"/>
      <c r="P6028" s="19"/>
      <c r="AL6028" s="19"/>
    </row>
    <row r="6029" spans="1:38" s="11" customFormat="1" x14ac:dyDescent="0.25">
      <c r="A6029" s="3"/>
      <c r="F6029" s="19"/>
      <c r="G6029" s="19"/>
      <c r="N6029" s="19"/>
      <c r="P6029" s="19"/>
      <c r="AL6029" s="19"/>
    </row>
    <row r="6030" spans="1:38" s="11" customFormat="1" x14ac:dyDescent="0.25">
      <c r="A6030" s="3"/>
      <c r="F6030" s="19"/>
      <c r="G6030" s="19"/>
      <c r="N6030" s="19"/>
      <c r="P6030" s="19"/>
      <c r="AL6030" s="19"/>
    </row>
    <row r="6031" spans="1:38" s="11" customFormat="1" x14ac:dyDescent="0.25">
      <c r="A6031" s="3"/>
      <c r="F6031" s="19"/>
      <c r="G6031" s="19"/>
      <c r="N6031" s="19"/>
      <c r="P6031" s="19"/>
      <c r="AL6031" s="19"/>
    </row>
    <row r="6032" spans="1:38" s="11" customFormat="1" x14ac:dyDescent="0.25">
      <c r="A6032" s="3"/>
      <c r="F6032" s="19"/>
      <c r="G6032" s="19"/>
      <c r="N6032" s="19"/>
      <c r="P6032" s="19"/>
      <c r="AL6032" s="19"/>
    </row>
    <row r="6033" spans="1:38" s="11" customFormat="1" x14ac:dyDescent="0.25">
      <c r="A6033" s="3"/>
      <c r="F6033" s="19"/>
      <c r="G6033" s="19"/>
      <c r="N6033" s="19"/>
      <c r="P6033" s="19"/>
      <c r="AL6033" s="19"/>
    </row>
    <row r="6034" spans="1:38" s="11" customFormat="1" x14ac:dyDescent="0.25">
      <c r="A6034" s="3"/>
      <c r="F6034" s="19"/>
      <c r="G6034" s="19"/>
      <c r="N6034" s="19"/>
      <c r="P6034" s="19"/>
      <c r="AL6034" s="19"/>
    </row>
    <row r="6035" spans="1:38" s="11" customFormat="1" x14ac:dyDescent="0.25">
      <c r="A6035" s="3"/>
      <c r="F6035" s="19"/>
      <c r="G6035" s="19"/>
      <c r="N6035" s="19"/>
      <c r="P6035" s="19"/>
      <c r="AL6035" s="19"/>
    </row>
    <row r="6036" spans="1:38" s="11" customFormat="1" x14ac:dyDescent="0.25">
      <c r="A6036" s="3"/>
      <c r="F6036" s="19"/>
      <c r="G6036" s="19"/>
      <c r="N6036" s="19"/>
      <c r="P6036" s="19"/>
      <c r="AL6036" s="19"/>
    </row>
    <row r="6037" spans="1:38" s="11" customFormat="1" x14ac:dyDescent="0.25">
      <c r="A6037" s="3"/>
      <c r="F6037" s="19"/>
      <c r="G6037" s="19"/>
      <c r="N6037" s="19"/>
      <c r="P6037" s="19"/>
      <c r="AL6037" s="19"/>
    </row>
    <row r="6038" spans="1:38" s="11" customFormat="1" x14ac:dyDescent="0.25">
      <c r="A6038" s="3"/>
      <c r="F6038" s="19"/>
      <c r="G6038" s="19"/>
      <c r="N6038" s="19"/>
      <c r="P6038" s="19"/>
      <c r="AL6038" s="19"/>
    </row>
    <row r="6039" spans="1:38" s="11" customFormat="1" x14ac:dyDescent="0.25">
      <c r="A6039" s="3"/>
      <c r="F6039" s="19"/>
      <c r="G6039" s="19"/>
      <c r="N6039" s="19"/>
      <c r="P6039" s="19"/>
      <c r="AL6039" s="19"/>
    </row>
    <row r="6040" spans="1:38" s="11" customFormat="1" x14ac:dyDescent="0.25">
      <c r="A6040" s="3"/>
      <c r="F6040" s="19"/>
      <c r="G6040" s="19"/>
      <c r="N6040" s="19"/>
      <c r="P6040" s="19"/>
      <c r="AL6040" s="19"/>
    </row>
    <row r="6041" spans="1:38" s="11" customFormat="1" x14ac:dyDescent="0.25">
      <c r="A6041" s="3"/>
      <c r="F6041" s="19"/>
      <c r="G6041" s="19"/>
      <c r="N6041" s="19"/>
      <c r="P6041" s="19"/>
      <c r="AL6041" s="19"/>
    </row>
    <row r="6042" spans="1:38" s="11" customFormat="1" x14ac:dyDescent="0.25">
      <c r="A6042" s="3"/>
      <c r="F6042" s="19"/>
      <c r="G6042" s="19"/>
      <c r="N6042" s="19"/>
      <c r="P6042" s="19"/>
      <c r="AL6042" s="19"/>
    </row>
    <row r="6043" spans="1:38" s="11" customFormat="1" x14ac:dyDescent="0.25">
      <c r="A6043" s="3"/>
      <c r="F6043" s="19"/>
      <c r="G6043" s="19"/>
      <c r="N6043" s="19"/>
      <c r="P6043" s="19"/>
      <c r="AL6043" s="19"/>
    </row>
    <row r="6044" spans="1:38" s="11" customFormat="1" x14ac:dyDescent="0.25">
      <c r="A6044" s="3"/>
      <c r="F6044" s="19"/>
      <c r="G6044" s="19"/>
      <c r="N6044" s="19"/>
      <c r="P6044" s="19"/>
      <c r="AL6044" s="19"/>
    </row>
    <row r="6045" spans="1:38" s="11" customFormat="1" x14ac:dyDescent="0.25">
      <c r="A6045" s="3"/>
      <c r="F6045" s="19"/>
      <c r="G6045" s="19"/>
      <c r="N6045" s="19"/>
      <c r="P6045" s="19"/>
      <c r="AL6045" s="19"/>
    </row>
    <row r="6046" spans="1:38" s="11" customFormat="1" x14ac:dyDescent="0.25">
      <c r="A6046" s="3"/>
      <c r="F6046" s="19"/>
      <c r="G6046" s="19"/>
      <c r="N6046" s="19"/>
      <c r="P6046" s="19"/>
      <c r="AL6046" s="19"/>
    </row>
    <row r="6047" spans="1:38" s="11" customFormat="1" x14ac:dyDescent="0.25">
      <c r="A6047" s="3"/>
      <c r="F6047" s="19"/>
      <c r="G6047" s="19"/>
      <c r="N6047" s="19"/>
      <c r="P6047" s="19"/>
      <c r="AL6047" s="19"/>
    </row>
    <row r="6048" spans="1:38" s="11" customFormat="1" x14ac:dyDescent="0.25">
      <c r="A6048" s="3"/>
      <c r="F6048" s="19"/>
      <c r="G6048" s="19"/>
      <c r="N6048" s="19"/>
      <c r="P6048" s="19"/>
      <c r="AL6048" s="19"/>
    </row>
    <row r="6049" spans="1:38" s="11" customFormat="1" x14ac:dyDescent="0.25">
      <c r="A6049" s="3"/>
      <c r="F6049" s="19"/>
      <c r="G6049" s="19"/>
      <c r="N6049" s="19"/>
      <c r="P6049" s="19"/>
      <c r="AL6049" s="19"/>
    </row>
    <row r="6050" spans="1:38" s="11" customFormat="1" x14ac:dyDescent="0.25">
      <c r="A6050" s="3"/>
      <c r="F6050" s="19"/>
      <c r="G6050" s="19"/>
      <c r="N6050" s="19"/>
      <c r="P6050" s="19"/>
      <c r="AL6050" s="19"/>
    </row>
    <row r="6051" spans="1:38" s="11" customFormat="1" x14ac:dyDescent="0.25">
      <c r="A6051" s="3"/>
      <c r="F6051" s="19"/>
      <c r="G6051" s="19"/>
      <c r="N6051" s="19"/>
      <c r="P6051" s="19"/>
      <c r="AL6051" s="19"/>
    </row>
    <row r="6052" spans="1:38" s="11" customFormat="1" x14ac:dyDescent="0.25">
      <c r="A6052" s="3"/>
      <c r="F6052" s="19"/>
      <c r="G6052" s="19"/>
      <c r="N6052" s="19"/>
      <c r="P6052" s="19"/>
      <c r="AL6052" s="19"/>
    </row>
    <row r="6053" spans="1:38" s="11" customFormat="1" x14ac:dyDescent="0.25">
      <c r="A6053" s="3"/>
      <c r="F6053" s="19"/>
      <c r="G6053" s="19"/>
      <c r="N6053" s="19"/>
      <c r="P6053" s="19"/>
      <c r="AL6053" s="19"/>
    </row>
    <row r="6054" spans="1:38" s="11" customFormat="1" x14ac:dyDescent="0.25">
      <c r="A6054" s="3"/>
      <c r="F6054" s="19"/>
      <c r="G6054" s="19"/>
      <c r="N6054" s="19"/>
      <c r="P6054" s="19"/>
      <c r="AL6054" s="19"/>
    </row>
    <row r="6055" spans="1:38" s="11" customFormat="1" x14ac:dyDescent="0.25">
      <c r="A6055" s="3"/>
      <c r="F6055" s="19"/>
      <c r="G6055" s="19"/>
      <c r="N6055" s="19"/>
      <c r="P6055" s="19"/>
      <c r="AL6055" s="19"/>
    </row>
    <row r="6056" spans="1:38" s="11" customFormat="1" x14ac:dyDescent="0.25">
      <c r="A6056" s="3"/>
      <c r="F6056" s="19"/>
      <c r="G6056" s="19"/>
      <c r="N6056" s="19"/>
      <c r="P6056" s="19"/>
      <c r="AL6056" s="19"/>
    </row>
    <row r="6057" spans="1:38" s="11" customFormat="1" x14ac:dyDescent="0.25">
      <c r="A6057" s="3"/>
      <c r="F6057" s="19"/>
      <c r="G6057" s="19"/>
      <c r="N6057" s="19"/>
      <c r="P6057" s="19"/>
      <c r="AL6057" s="19"/>
    </row>
    <row r="6058" spans="1:38" s="11" customFormat="1" x14ac:dyDescent="0.25">
      <c r="A6058" s="3"/>
      <c r="F6058" s="19"/>
      <c r="G6058" s="19"/>
      <c r="N6058" s="19"/>
      <c r="P6058" s="19"/>
      <c r="AL6058" s="19"/>
    </row>
    <row r="6059" spans="1:38" s="11" customFormat="1" x14ac:dyDescent="0.25">
      <c r="A6059" s="3"/>
      <c r="F6059" s="19"/>
      <c r="G6059" s="19"/>
      <c r="N6059" s="19"/>
      <c r="P6059" s="19"/>
      <c r="AL6059" s="19"/>
    </row>
    <row r="6060" spans="1:38" s="11" customFormat="1" x14ac:dyDescent="0.25">
      <c r="A6060" s="3"/>
      <c r="F6060" s="19"/>
      <c r="G6060" s="19"/>
      <c r="N6060" s="19"/>
      <c r="P6060" s="19"/>
      <c r="AL6060" s="19"/>
    </row>
    <row r="6061" spans="1:38" s="11" customFormat="1" x14ac:dyDescent="0.25">
      <c r="A6061" s="3"/>
      <c r="F6061" s="19"/>
      <c r="G6061" s="19"/>
      <c r="N6061" s="19"/>
      <c r="P6061" s="19"/>
      <c r="AL6061" s="19"/>
    </row>
    <row r="6062" spans="1:38" s="11" customFormat="1" x14ac:dyDescent="0.25">
      <c r="A6062" s="3"/>
      <c r="F6062" s="19"/>
      <c r="G6062" s="19"/>
      <c r="N6062" s="19"/>
      <c r="P6062" s="19"/>
      <c r="AL6062" s="19"/>
    </row>
    <row r="6063" spans="1:38" s="11" customFormat="1" x14ac:dyDescent="0.25">
      <c r="A6063" s="3"/>
      <c r="F6063" s="19"/>
      <c r="G6063" s="19"/>
      <c r="N6063" s="19"/>
      <c r="P6063" s="19"/>
      <c r="AL6063" s="19"/>
    </row>
    <row r="6064" spans="1:38" s="11" customFormat="1" x14ac:dyDescent="0.25">
      <c r="A6064" s="3"/>
      <c r="F6064" s="19"/>
      <c r="G6064" s="19"/>
      <c r="N6064" s="19"/>
      <c r="P6064" s="19"/>
      <c r="AL6064" s="19"/>
    </row>
    <row r="6065" spans="1:38" s="11" customFormat="1" x14ac:dyDescent="0.25">
      <c r="A6065" s="3"/>
      <c r="F6065" s="19"/>
      <c r="G6065" s="19"/>
      <c r="N6065" s="19"/>
      <c r="P6065" s="19"/>
      <c r="AL6065" s="19"/>
    </row>
    <row r="6066" spans="1:38" s="11" customFormat="1" x14ac:dyDescent="0.25">
      <c r="A6066" s="3"/>
      <c r="F6066" s="19"/>
      <c r="G6066" s="19"/>
      <c r="N6066" s="19"/>
      <c r="P6066" s="19"/>
      <c r="AL6066" s="19"/>
    </row>
    <row r="6067" spans="1:38" s="11" customFormat="1" x14ac:dyDescent="0.25">
      <c r="A6067" s="3"/>
      <c r="F6067" s="19"/>
      <c r="G6067" s="19"/>
      <c r="N6067" s="19"/>
      <c r="P6067" s="19"/>
      <c r="AL6067" s="19"/>
    </row>
    <row r="6068" spans="1:38" s="11" customFormat="1" x14ac:dyDescent="0.25">
      <c r="A6068" s="3"/>
      <c r="F6068" s="19"/>
      <c r="G6068" s="19"/>
      <c r="N6068" s="19"/>
      <c r="P6068" s="19"/>
      <c r="AL6068" s="19"/>
    </row>
    <row r="6069" spans="1:38" s="11" customFormat="1" x14ac:dyDescent="0.25">
      <c r="A6069" s="3"/>
      <c r="F6069" s="19"/>
      <c r="G6069" s="19"/>
      <c r="N6069" s="19"/>
      <c r="P6069" s="19"/>
      <c r="AL6069" s="19"/>
    </row>
    <row r="6070" spans="1:38" s="11" customFormat="1" x14ac:dyDescent="0.25">
      <c r="A6070" s="3"/>
      <c r="F6070" s="19"/>
      <c r="G6070" s="19"/>
      <c r="N6070" s="19"/>
      <c r="P6070" s="19"/>
      <c r="AL6070" s="19"/>
    </row>
    <row r="6071" spans="1:38" s="11" customFormat="1" x14ac:dyDescent="0.25">
      <c r="A6071" s="3"/>
      <c r="F6071" s="19"/>
      <c r="G6071" s="19"/>
      <c r="N6071" s="19"/>
      <c r="P6071" s="19"/>
      <c r="AL6071" s="19"/>
    </row>
    <row r="6072" spans="1:38" s="11" customFormat="1" x14ac:dyDescent="0.25">
      <c r="A6072" s="3"/>
      <c r="F6072" s="19"/>
      <c r="G6072" s="19"/>
      <c r="N6072" s="19"/>
      <c r="P6072" s="19"/>
      <c r="AL6072" s="19"/>
    </row>
    <row r="6073" spans="1:38" s="11" customFormat="1" x14ac:dyDescent="0.25">
      <c r="A6073" s="3"/>
      <c r="F6073" s="19"/>
      <c r="G6073" s="19"/>
      <c r="N6073" s="19"/>
      <c r="P6073" s="19"/>
      <c r="AL6073" s="19"/>
    </row>
    <row r="6074" spans="1:38" s="11" customFormat="1" x14ac:dyDescent="0.25">
      <c r="A6074" s="3"/>
      <c r="F6074" s="19"/>
      <c r="G6074" s="19"/>
      <c r="N6074" s="19"/>
      <c r="P6074" s="19"/>
      <c r="AL6074" s="19"/>
    </row>
    <row r="6075" spans="1:38" s="11" customFormat="1" x14ac:dyDescent="0.25">
      <c r="A6075" s="3"/>
      <c r="F6075" s="19"/>
      <c r="G6075" s="19"/>
      <c r="N6075" s="19"/>
      <c r="P6075" s="19"/>
      <c r="AL6075" s="19"/>
    </row>
    <row r="6076" spans="1:38" s="11" customFormat="1" x14ac:dyDescent="0.25">
      <c r="A6076" s="3"/>
      <c r="F6076" s="19"/>
      <c r="G6076" s="19"/>
      <c r="N6076" s="19"/>
      <c r="P6076" s="19"/>
      <c r="AL6076" s="19"/>
    </row>
    <row r="6077" spans="1:38" s="11" customFormat="1" x14ac:dyDescent="0.25">
      <c r="A6077" s="3"/>
      <c r="F6077" s="19"/>
      <c r="G6077" s="19"/>
      <c r="N6077" s="19"/>
      <c r="P6077" s="19"/>
      <c r="AL6077" s="19"/>
    </row>
    <row r="6078" spans="1:38" s="11" customFormat="1" x14ac:dyDescent="0.25">
      <c r="A6078" s="3"/>
      <c r="F6078" s="19"/>
      <c r="G6078" s="19"/>
      <c r="N6078" s="19"/>
      <c r="P6078" s="19"/>
      <c r="AL6078" s="19"/>
    </row>
    <row r="6079" spans="1:38" s="11" customFormat="1" x14ac:dyDescent="0.25">
      <c r="A6079" s="3"/>
      <c r="F6079" s="19"/>
      <c r="G6079" s="19"/>
      <c r="N6079" s="19"/>
      <c r="P6079" s="19"/>
      <c r="AL6079" s="19"/>
    </row>
    <row r="6080" spans="1:38" s="11" customFormat="1" x14ac:dyDescent="0.25">
      <c r="A6080" s="3"/>
      <c r="F6080" s="19"/>
      <c r="G6080" s="19"/>
      <c r="N6080" s="19"/>
      <c r="P6080" s="19"/>
      <c r="AL6080" s="19"/>
    </row>
    <row r="6081" spans="1:38" s="11" customFormat="1" x14ac:dyDescent="0.25">
      <c r="A6081" s="3"/>
      <c r="F6081" s="19"/>
      <c r="G6081" s="19"/>
      <c r="N6081" s="19"/>
      <c r="P6081" s="19"/>
      <c r="AL6081" s="19"/>
    </row>
    <row r="6082" spans="1:38" s="11" customFormat="1" x14ac:dyDescent="0.25">
      <c r="A6082" s="3"/>
      <c r="F6082" s="19"/>
      <c r="G6082" s="19"/>
      <c r="N6082" s="19"/>
      <c r="P6082" s="19"/>
      <c r="AL6082" s="19"/>
    </row>
    <row r="6083" spans="1:38" s="11" customFormat="1" x14ac:dyDescent="0.25">
      <c r="A6083" s="3"/>
      <c r="F6083" s="19"/>
      <c r="G6083" s="19"/>
      <c r="N6083" s="19"/>
      <c r="P6083" s="19"/>
      <c r="AL6083" s="19"/>
    </row>
    <row r="6084" spans="1:38" s="11" customFormat="1" x14ac:dyDescent="0.25">
      <c r="A6084" s="3"/>
      <c r="F6084" s="19"/>
      <c r="G6084" s="19"/>
      <c r="N6084" s="19"/>
      <c r="P6084" s="19"/>
      <c r="AL6084" s="19"/>
    </row>
    <row r="6085" spans="1:38" s="11" customFormat="1" x14ac:dyDescent="0.25">
      <c r="A6085" s="3"/>
      <c r="F6085" s="19"/>
      <c r="G6085" s="19"/>
      <c r="N6085" s="19"/>
      <c r="P6085" s="19"/>
      <c r="AL6085" s="19"/>
    </row>
    <row r="6086" spans="1:38" s="11" customFormat="1" x14ac:dyDescent="0.25">
      <c r="A6086" s="3"/>
      <c r="F6086" s="19"/>
      <c r="G6086" s="19"/>
      <c r="N6086" s="19"/>
      <c r="P6086" s="19"/>
      <c r="AL6086" s="19"/>
    </row>
    <row r="6087" spans="1:38" s="11" customFormat="1" x14ac:dyDescent="0.25">
      <c r="A6087" s="3"/>
      <c r="F6087" s="19"/>
      <c r="G6087" s="19"/>
      <c r="N6087" s="19"/>
      <c r="P6087" s="19"/>
      <c r="AL6087" s="19"/>
    </row>
    <row r="6088" spans="1:38" s="11" customFormat="1" x14ac:dyDescent="0.25">
      <c r="A6088" s="3"/>
      <c r="F6088" s="19"/>
      <c r="G6088" s="19"/>
      <c r="N6088" s="19"/>
      <c r="P6088" s="19"/>
      <c r="AL6088" s="19"/>
    </row>
    <row r="6089" spans="1:38" s="11" customFormat="1" x14ac:dyDescent="0.25">
      <c r="A6089" s="3"/>
      <c r="F6089" s="19"/>
      <c r="G6089" s="19"/>
      <c r="N6089" s="19"/>
      <c r="P6089" s="19"/>
      <c r="AL6089" s="19"/>
    </row>
    <row r="6090" spans="1:38" s="11" customFormat="1" x14ac:dyDescent="0.25">
      <c r="A6090" s="3"/>
      <c r="F6090" s="19"/>
      <c r="G6090" s="19"/>
      <c r="N6090" s="19"/>
      <c r="P6090" s="19"/>
      <c r="AL6090" s="19"/>
    </row>
    <row r="6091" spans="1:38" s="11" customFormat="1" x14ac:dyDescent="0.25">
      <c r="A6091" s="3"/>
      <c r="F6091" s="19"/>
      <c r="G6091" s="19"/>
      <c r="N6091" s="19"/>
      <c r="P6091" s="19"/>
      <c r="AL6091" s="19"/>
    </row>
    <row r="6092" spans="1:38" s="11" customFormat="1" x14ac:dyDescent="0.25">
      <c r="A6092" s="3"/>
      <c r="F6092" s="19"/>
      <c r="G6092" s="19"/>
      <c r="N6092" s="19"/>
      <c r="P6092" s="19"/>
      <c r="AL6092" s="19"/>
    </row>
    <row r="6093" spans="1:38" s="11" customFormat="1" x14ac:dyDescent="0.25">
      <c r="A6093" s="3"/>
      <c r="F6093" s="19"/>
      <c r="G6093" s="19"/>
      <c r="N6093" s="19"/>
      <c r="P6093" s="19"/>
      <c r="AL6093" s="19"/>
    </row>
    <row r="6094" spans="1:38" s="11" customFormat="1" x14ac:dyDescent="0.25">
      <c r="A6094" s="3"/>
      <c r="F6094" s="19"/>
      <c r="G6094" s="19"/>
      <c r="N6094" s="19"/>
      <c r="P6094" s="19"/>
      <c r="AL6094" s="19"/>
    </row>
    <row r="6095" spans="1:38" s="11" customFormat="1" x14ac:dyDescent="0.25">
      <c r="A6095" s="3"/>
      <c r="F6095" s="19"/>
      <c r="G6095" s="19"/>
      <c r="N6095" s="19"/>
      <c r="P6095" s="19"/>
      <c r="AL6095" s="19"/>
    </row>
    <row r="6096" spans="1:38" s="11" customFormat="1" x14ac:dyDescent="0.25">
      <c r="A6096" s="3"/>
      <c r="F6096" s="19"/>
      <c r="G6096" s="19"/>
      <c r="N6096" s="19"/>
      <c r="P6096" s="19"/>
      <c r="AL6096" s="19"/>
    </row>
    <row r="6097" spans="1:38" s="11" customFormat="1" x14ac:dyDescent="0.25">
      <c r="A6097" s="3"/>
      <c r="F6097" s="19"/>
      <c r="G6097" s="19"/>
      <c r="N6097" s="19"/>
      <c r="P6097" s="19"/>
      <c r="AL6097" s="19"/>
    </row>
    <row r="6098" spans="1:38" s="11" customFormat="1" x14ac:dyDescent="0.25">
      <c r="A6098" s="3"/>
      <c r="F6098" s="19"/>
      <c r="G6098" s="19"/>
      <c r="N6098" s="19"/>
      <c r="P6098" s="19"/>
      <c r="AL6098" s="19"/>
    </row>
    <row r="6099" spans="1:38" s="11" customFormat="1" x14ac:dyDescent="0.25">
      <c r="A6099" s="3"/>
      <c r="F6099" s="19"/>
      <c r="G6099" s="19"/>
      <c r="N6099" s="19"/>
      <c r="P6099" s="19"/>
      <c r="AL6099" s="19"/>
    </row>
    <row r="6100" spans="1:38" s="11" customFormat="1" x14ac:dyDescent="0.25">
      <c r="A6100" s="3"/>
      <c r="F6100" s="19"/>
      <c r="G6100" s="19"/>
      <c r="N6100" s="19"/>
      <c r="P6100" s="19"/>
      <c r="AL6100" s="19"/>
    </row>
    <row r="6101" spans="1:38" s="11" customFormat="1" x14ac:dyDescent="0.25">
      <c r="A6101" s="3"/>
      <c r="F6101" s="19"/>
      <c r="G6101" s="19"/>
      <c r="N6101" s="19"/>
      <c r="P6101" s="19"/>
      <c r="AL6101" s="19"/>
    </row>
    <row r="6102" spans="1:38" s="11" customFormat="1" x14ac:dyDescent="0.25">
      <c r="A6102" s="3"/>
      <c r="F6102" s="19"/>
      <c r="G6102" s="19"/>
      <c r="N6102" s="19"/>
      <c r="P6102" s="19"/>
      <c r="AL6102" s="19"/>
    </row>
    <row r="6103" spans="1:38" s="11" customFormat="1" x14ac:dyDescent="0.25">
      <c r="A6103" s="3"/>
      <c r="F6103" s="19"/>
      <c r="G6103" s="19"/>
      <c r="N6103" s="19"/>
      <c r="P6103" s="19"/>
      <c r="AL6103" s="19"/>
    </row>
    <row r="6104" spans="1:38" s="11" customFormat="1" x14ac:dyDescent="0.25">
      <c r="A6104" s="3"/>
      <c r="F6104" s="19"/>
      <c r="G6104" s="19"/>
      <c r="N6104" s="19"/>
      <c r="P6104" s="19"/>
      <c r="AL6104" s="19"/>
    </row>
    <row r="6105" spans="1:38" s="11" customFormat="1" x14ac:dyDescent="0.25">
      <c r="A6105" s="3"/>
      <c r="F6105" s="19"/>
      <c r="G6105" s="19"/>
      <c r="N6105" s="19"/>
      <c r="P6105" s="19"/>
      <c r="AL6105" s="19"/>
    </row>
    <row r="6106" spans="1:38" s="11" customFormat="1" x14ac:dyDescent="0.25">
      <c r="A6106" s="3"/>
      <c r="F6106" s="19"/>
      <c r="G6106" s="19"/>
      <c r="N6106" s="19"/>
      <c r="P6106" s="19"/>
      <c r="AL6106" s="19"/>
    </row>
    <row r="6107" spans="1:38" s="11" customFormat="1" x14ac:dyDescent="0.25">
      <c r="A6107" s="3"/>
      <c r="F6107" s="19"/>
      <c r="G6107" s="19"/>
      <c r="N6107" s="19"/>
      <c r="P6107" s="19"/>
      <c r="AL6107" s="19"/>
    </row>
    <row r="6108" spans="1:38" s="11" customFormat="1" x14ac:dyDescent="0.25">
      <c r="A6108" s="3"/>
      <c r="F6108" s="19"/>
      <c r="G6108" s="19"/>
      <c r="N6108" s="19"/>
      <c r="P6108" s="19"/>
      <c r="AL6108" s="19"/>
    </row>
    <row r="6109" spans="1:38" s="11" customFormat="1" x14ac:dyDescent="0.25">
      <c r="A6109" s="3"/>
      <c r="F6109" s="19"/>
      <c r="G6109" s="19"/>
      <c r="N6109" s="19"/>
      <c r="P6109" s="19"/>
      <c r="AL6109" s="19"/>
    </row>
    <row r="6110" spans="1:38" s="11" customFormat="1" x14ac:dyDescent="0.25">
      <c r="A6110" s="3"/>
      <c r="F6110" s="19"/>
      <c r="G6110" s="19"/>
      <c r="N6110" s="19"/>
      <c r="P6110" s="19"/>
      <c r="AL6110" s="19"/>
    </row>
    <row r="6111" spans="1:38" s="11" customFormat="1" x14ac:dyDescent="0.25">
      <c r="A6111" s="3"/>
      <c r="F6111" s="19"/>
      <c r="G6111" s="19"/>
      <c r="N6111" s="19"/>
      <c r="P6111" s="19"/>
      <c r="AL6111" s="19"/>
    </row>
    <row r="6112" spans="1:38" s="11" customFormat="1" x14ac:dyDescent="0.25">
      <c r="A6112" s="3"/>
      <c r="F6112" s="19"/>
      <c r="G6112" s="19"/>
      <c r="N6112" s="19"/>
      <c r="P6112" s="19"/>
      <c r="AL6112" s="19"/>
    </row>
    <row r="6113" spans="1:38" s="11" customFormat="1" x14ac:dyDescent="0.25">
      <c r="A6113" s="3"/>
      <c r="F6113" s="19"/>
      <c r="G6113" s="19"/>
      <c r="N6113" s="19"/>
      <c r="P6113" s="19"/>
      <c r="AL6113" s="19"/>
    </row>
    <row r="6114" spans="1:38" s="11" customFormat="1" x14ac:dyDescent="0.25">
      <c r="A6114" s="3"/>
      <c r="F6114" s="19"/>
      <c r="G6114" s="19"/>
      <c r="N6114" s="19"/>
      <c r="P6114" s="19"/>
      <c r="AL6114" s="19"/>
    </row>
    <row r="6115" spans="1:38" s="11" customFormat="1" x14ac:dyDescent="0.25">
      <c r="A6115" s="3"/>
      <c r="F6115" s="19"/>
      <c r="G6115" s="19"/>
      <c r="N6115" s="19"/>
      <c r="P6115" s="19"/>
      <c r="AL6115" s="19"/>
    </row>
    <row r="6116" spans="1:38" s="11" customFormat="1" x14ac:dyDescent="0.25">
      <c r="A6116" s="3"/>
      <c r="F6116" s="19"/>
      <c r="G6116" s="19"/>
      <c r="N6116" s="19"/>
      <c r="P6116" s="19"/>
      <c r="AL6116" s="19"/>
    </row>
    <row r="6117" spans="1:38" s="11" customFormat="1" x14ac:dyDescent="0.25">
      <c r="A6117" s="3"/>
      <c r="F6117" s="19"/>
      <c r="G6117" s="19"/>
      <c r="N6117" s="19"/>
      <c r="P6117" s="19"/>
      <c r="AL6117" s="19"/>
    </row>
    <row r="6118" spans="1:38" s="11" customFormat="1" x14ac:dyDescent="0.25">
      <c r="A6118" s="3"/>
      <c r="F6118" s="19"/>
      <c r="G6118" s="19"/>
      <c r="N6118" s="19"/>
      <c r="P6118" s="19"/>
      <c r="AL6118" s="19"/>
    </row>
    <row r="6119" spans="1:38" s="11" customFormat="1" x14ac:dyDescent="0.25">
      <c r="A6119" s="3"/>
      <c r="F6119" s="19"/>
      <c r="G6119" s="19"/>
      <c r="N6119" s="19"/>
      <c r="P6119" s="19"/>
      <c r="AL6119" s="19"/>
    </row>
    <row r="6120" spans="1:38" s="11" customFormat="1" x14ac:dyDescent="0.25">
      <c r="A6120" s="3"/>
      <c r="F6120" s="19"/>
      <c r="G6120" s="19"/>
      <c r="N6120" s="19"/>
      <c r="P6120" s="19"/>
      <c r="AL6120" s="19"/>
    </row>
    <row r="6121" spans="1:38" s="11" customFormat="1" x14ac:dyDescent="0.25">
      <c r="A6121" s="3"/>
      <c r="F6121" s="19"/>
      <c r="G6121" s="19"/>
      <c r="N6121" s="19"/>
      <c r="P6121" s="19"/>
      <c r="AL6121" s="19"/>
    </row>
    <row r="6122" spans="1:38" s="11" customFormat="1" x14ac:dyDescent="0.25">
      <c r="A6122" s="3"/>
      <c r="F6122" s="19"/>
      <c r="G6122" s="19"/>
      <c r="N6122" s="19"/>
      <c r="P6122" s="19"/>
      <c r="AL6122" s="19"/>
    </row>
    <row r="6123" spans="1:38" s="11" customFormat="1" x14ac:dyDescent="0.25">
      <c r="A6123" s="3"/>
      <c r="F6123" s="19"/>
      <c r="G6123" s="19"/>
      <c r="N6123" s="19"/>
      <c r="P6123" s="19"/>
      <c r="AL6123" s="19"/>
    </row>
    <row r="6124" spans="1:38" s="11" customFormat="1" x14ac:dyDescent="0.25">
      <c r="A6124" s="3"/>
      <c r="F6124" s="19"/>
      <c r="G6124" s="19"/>
      <c r="N6124" s="19"/>
      <c r="P6124" s="19"/>
      <c r="AL6124" s="19"/>
    </row>
    <row r="6125" spans="1:38" s="11" customFormat="1" x14ac:dyDescent="0.25">
      <c r="A6125" s="3"/>
      <c r="F6125" s="19"/>
      <c r="G6125" s="19"/>
      <c r="N6125" s="19"/>
      <c r="P6125" s="19"/>
      <c r="AL6125" s="19"/>
    </row>
    <row r="6126" spans="1:38" s="11" customFormat="1" x14ac:dyDescent="0.25">
      <c r="A6126" s="3"/>
      <c r="F6126" s="19"/>
      <c r="G6126" s="19"/>
      <c r="N6126" s="19"/>
      <c r="P6126" s="19"/>
      <c r="AL6126" s="19"/>
    </row>
    <row r="6127" spans="1:38" s="11" customFormat="1" x14ac:dyDescent="0.25">
      <c r="A6127" s="3"/>
      <c r="F6127" s="19"/>
      <c r="G6127" s="19"/>
      <c r="N6127" s="19"/>
      <c r="P6127" s="19"/>
      <c r="AL6127" s="19"/>
    </row>
    <row r="6128" spans="1:38" s="11" customFormat="1" x14ac:dyDescent="0.25">
      <c r="A6128" s="3"/>
      <c r="F6128" s="19"/>
      <c r="G6128" s="19"/>
      <c r="N6128" s="19"/>
      <c r="P6128" s="19"/>
      <c r="AL6128" s="19"/>
    </row>
    <row r="6129" spans="1:38" s="11" customFormat="1" x14ac:dyDescent="0.25">
      <c r="A6129" s="3"/>
      <c r="F6129" s="19"/>
      <c r="G6129" s="19"/>
      <c r="N6129" s="19"/>
      <c r="P6129" s="19"/>
      <c r="AL6129" s="19"/>
    </row>
    <row r="6130" spans="1:38" s="11" customFormat="1" x14ac:dyDescent="0.25">
      <c r="A6130" s="3"/>
      <c r="F6130" s="19"/>
      <c r="G6130" s="19"/>
      <c r="N6130" s="19"/>
      <c r="P6130" s="19"/>
      <c r="AL6130" s="19"/>
    </row>
    <row r="6131" spans="1:38" s="11" customFormat="1" x14ac:dyDescent="0.25">
      <c r="A6131" s="3"/>
      <c r="F6131" s="19"/>
      <c r="G6131" s="19"/>
      <c r="N6131" s="19"/>
      <c r="P6131" s="19"/>
      <c r="AL6131" s="19"/>
    </row>
    <row r="6132" spans="1:38" s="11" customFormat="1" x14ac:dyDescent="0.25">
      <c r="A6132" s="3"/>
      <c r="F6132" s="19"/>
      <c r="G6132" s="19"/>
      <c r="N6132" s="19"/>
      <c r="P6132" s="19"/>
      <c r="AL6132" s="19"/>
    </row>
    <row r="6133" spans="1:38" s="11" customFormat="1" x14ac:dyDescent="0.25">
      <c r="A6133" s="3"/>
      <c r="F6133" s="19"/>
      <c r="G6133" s="19"/>
      <c r="N6133" s="19"/>
      <c r="P6133" s="19"/>
      <c r="AL6133" s="19"/>
    </row>
    <row r="6134" spans="1:38" s="11" customFormat="1" x14ac:dyDescent="0.25">
      <c r="A6134" s="3"/>
      <c r="F6134" s="19"/>
      <c r="G6134" s="19"/>
      <c r="N6134" s="19"/>
      <c r="P6134" s="19"/>
      <c r="AL6134" s="19"/>
    </row>
    <row r="6135" spans="1:38" s="11" customFormat="1" x14ac:dyDescent="0.25">
      <c r="A6135" s="3"/>
      <c r="F6135" s="19"/>
      <c r="G6135" s="19"/>
      <c r="N6135" s="19"/>
      <c r="P6135" s="19"/>
      <c r="AL6135" s="19"/>
    </row>
    <row r="6136" spans="1:38" s="11" customFormat="1" x14ac:dyDescent="0.25">
      <c r="A6136" s="3"/>
      <c r="F6136" s="19"/>
      <c r="G6136" s="19"/>
      <c r="N6136" s="19"/>
      <c r="P6136" s="19"/>
      <c r="AL6136" s="19"/>
    </row>
    <row r="6137" spans="1:38" s="11" customFormat="1" x14ac:dyDescent="0.25">
      <c r="A6137" s="3"/>
      <c r="F6137" s="19"/>
      <c r="G6137" s="19"/>
      <c r="N6137" s="19"/>
      <c r="P6137" s="19"/>
      <c r="AL6137" s="19"/>
    </row>
    <row r="6138" spans="1:38" s="11" customFormat="1" x14ac:dyDescent="0.25">
      <c r="A6138" s="3"/>
      <c r="F6138" s="19"/>
      <c r="G6138" s="19"/>
      <c r="N6138" s="19"/>
      <c r="P6138" s="19"/>
      <c r="AL6138" s="19"/>
    </row>
    <row r="6139" spans="1:38" s="11" customFormat="1" x14ac:dyDescent="0.25">
      <c r="A6139" s="3"/>
      <c r="F6139" s="19"/>
      <c r="G6139" s="19"/>
      <c r="N6139" s="19"/>
      <c r="P6139" s="19"/>
      <c r="AL6139" s="19"/>
    </row>
    <row r="6140" spans="1:38" s="11" customFormat="1" x14ac:dyDescent="0.25">
      <c r="A6140" s="3"/>
      <c r="F6140" s="19"/>
      <c r="G6140" s="19"/>
      <c r="N6140" s="19"/>
      <c r="P6140" s="19"/>
      <c r="AL6140" s="19"/>
    </row>
    <row r="6141" spans="1:38" s="11" customFormat="1" x14ac:dyDescent="0.25">
      <c r="A6141" s="3"/>
      <c r="F6141" s="19"/>
      <c r="G6141" s="19"/>
      <c r="N6141" s="19"/>
      <c r="P6141" s="19"/>
      <c r="AL6141" s="19"/>
    </row>
    <row r="6142" spans="1:38" s="11" customFormat="1" x14ac:dyDescent="0.25">
      <c r="A6142" s="3"/>
      <c r="F6142" s="19"/>
      <c r="G6142" s="19"/>
      <c r="N6142" s="19"/>
      <c r="P6142" s="19"/>
      <c r="AL6142" s="19"/>
    </row>
    <row r="6143" spans="1:38" s="11" customFormat="1" x14ac:dyDescent="0.25">
      <c r="A6143" s="3"/>
      <c r="F6143" s="19"/>
      <c r="G6143" s="19"/>
      <c r="N6143" s="19"/>
      <c r="P6143" s="19"/>
      <c r="AL6143" s="19"/>
    </row>
    <row r="6144" spans="1:38" s="11" customFormat="1" x14ac:dyDescent="0.25">
      <c r="A6144" s="3"/>
      <c r="F6144" s="19"/>
      <c r="G6144" s="19"/>
      <c r="N6144" s="19"/>
      <c r="P6144" s="19"/>
      <c r="AL6144" s="19"/>
    </row>
    <row r="6145" spans="1:38" s="11" customFormat="1" x14ac:dyDescent="0.25">
      <c r="A6145" s="3"/>
      <c r="F6145" s="19"/>
      <c r="G6145" s="19"/>
      <c r="N6145" s="19"/>
      <c r="P6145" s="19"/>
      <c r="AL6145" s="19"/>
    </row>
    <row r="6146" spans="1:38" s="11" customFormat="1" x14ac:dyDescent="0.25">
      <c r="A6146" s="3"/>
      <c r="F6146" s="19"/>
      <c r="G6146" s="19"/>
      <c r="N6146" s="19"/>
      <c r="P6146" s="19"/>
      <c r="AL6146" s="19"/>
    </row>
    <row r="6147" spans="1:38" s="11" customFormat="1" x14ac:dyDescent="0.25">
      <c r="A6147" s="3"/>
      <c r="F6147" s="19"/>
      <c r="G6147" s="19"/>
      <c r="N6147" s="19"/>
      <c r="P6147" s="19"/>
      <c r="AL6147" s="19"/>
    </row>
    <row r="6148" spans="1:38" s="11" customFormat="1" x14ac:dyDescent="0.25">
      <c r="A6148" s="3"/>
      <c r="F6148" s="19"/>
      <c r="G6148" s="19"/>
      <c r="N6148" s="19"/>
      <c r="P6148" s="19"/>
      <c r="AL6148" s="19"/>
    </row>
    <row r="6149" spans="1:38" s="11" customFormat="1" x14ac:dyDescent="0.25">
      <c r="A6149" s="3"/>
      <c r="F6149" s="19"/>
      <c r="G6149" s="19"/>
      <c r="N6149" s="19"/>
      <c r="P6149" s="19"/>
      <c r="AL6149" s="19"/>
    </row>
    <row r="6150" spans="1:38" s="11" customFormat="1" x14ac:dyDescent="0.25">
      <c r="A6150" s="3"/>
      <c r="F6150" s="19"/>
      <c r="G6150" s="19"/>
      <c r="N6150" s="19"/>
      <c r="P6150" s="19"/>
      <c r="AL6150" s="19"/>
    </row>
    <row r="6151" spans="1:38" s="11" customFormat="1" x14ac:dyDescent="0.25">
      <c r="A6151" s="3"/>
      <c r="F6151" s="19"/>
      <c r="G6151" s="19"/>
      <c r="N6151" s="19"/>
      <c r="P6151" s="19"/>
      <c r="AL6151" s="19"/>
    </row>
    <row r="6152" spans="1:38" s="11" customFormat="1" x14ac:dyDescent="0.25">
      <c r="A6152" s="3"/>
      <c r="F6152" s="19"/>
      <c r="G6152" s="19"/>
      <c r="N6152" s="19"/>
      <c r="P6152" s="19"/>
      <c r="AL6152" s="19"/>
    </row>
    <row r="6153" spans="1:38" s="11" customFormat="1" x14ac:dyDescent="0.25">
      <c r="A6153" s="3"/>
      <c r="F6153" s="19"/>
      <c r="G6153" s="19"/>
      <c r="N6153" s="19"/>
      <c r="P6153" s="19"/>
      <c r="AL6153" s="19"/>
    </row>
    <row r="6154" spans="1:38" s="11" customFormat="1" x14ac:dyDescent="0.25">
      <c r="A6154" s="3"/>
      <c r="F6154" s="19"/>
      <c r="G6154" s="19"/>
      <c r="N6154" s="19"/>
      <c r="P6154" s="19"/>
      <c r="AL6154" s="19"/>
    </row>
    <row r="6155" spans="1:38" s="11" customFormat="1" x14ac:dyDescent="0.25">
      <c r="A6155" s="3"/>
      <c r="F6155" s="19"/>
      <c r="G6155" s="19"/>
      <c r="N6155" s="19"/>
      <c r="P6155" s="19"/>
      <c r="AL6155" s="19"/>
    </row>
    <row r="6156" spans="1:38" s="11" customFormat="1" x14ac:dyDescent="0.25">
      <c r="A6156" s="3"/>
      <c r="F6156" s="19"/>
      <c r="G6156" s="19"/>
      <c r="N6156" s="19"/>
      <c r="P6156" s="19"/>
      <c r="AL6156" s="19"/>
    </row>
    <row r="6157" spans="1:38" s="11" customFormat="1" x14ac:dyDescent="0.25">
      <c r="A6157" s="3"/>
      <c r="F6157" s="19"/>
      <c r="G6157" s="19"/>
      <c r="N6157" s="19"/>
      <c r="P6157" s="19"/>
      <c r="AL6157" s="19"/>
    </row>
    <row r="6158" spans="1:38" s="11" customFormat="1" x14ac:dyDescent="0.25">
      <c r="A6158" s="3"/>
      <c r="F6158" s="19"/>
      <c r="G6158" s="19"/>
      <c r="N6158" s="19"/>
      <c r="P6158" s="19"/>
      <c r="AL6158" s="19"/>
    </row>
    <row r="6159" spans="1:38" s="11" customFormat="1" x14ac:dyDescent="0.25">
      <c r="A6159" s="3"/>
      <c r="F6159" s="19"/>
      <c r="G6159" s="19"/>
      <c r="N6159" s="19"/>
      <c r="P6159" s="19"/>
      <c r="AL6159" s="19"/>
    </row>
    <row r="6160" spans="1:38" s="11" customFormat="1" x14ac:dyDescent="0.25">
      <c r="A6160" s="3"/>
      <c r="F6160" s="19"/>
      <c r="G6160" s="19"/>
      <c r="N6160" s="19"/>
      <c r="P6160" s="19"/>
      <c r="AL6160" s="19"/>
    </row>
    <row r="6161" spans="1:38" s="11" customFormat="1" x14ac:dyDescent="0.25">
      <c r="A6161" s="3"/>
      <c r="F6161" s="19"/>
      <c r="G6161" s="19"/>
      <c r="N6161" s="19"/>
      <c r="P6161" s="19"/>
      <c r="AL6161" s="19"/>
    </row>
    <row r="6162" spans="1:38" s="11" customFormat="1" x14ac:dyDescent="0.25">
      <c r="A6162" s="3"/>
      <c r="F6162" s="19"/>
      <c r="G6162" s="19"/>
      <c r="N6162" s="19"/>
      <c r="P6162" s="19"/>
      <c r="AL6162" s="19"/>
    </row>
    <row r="6163" spans="1:38" s="11" customFormat="1" x14ac:dyDescent="0.25">
      <c r="A6163" s="3"/>
      <c r="F6163" s="19"/>
      <c r="G6163" s="19"/>
      <c r="N6163" s="19"/>
      <c r="P6163" s="19"/>
      <c r="AL6163" s="19"/>
    </row>
    <row r="6164" spans="1:38" s="11" customFormat="1" x14ac:dyDescent="0.25">
      <c r="A6164" s="3"/>
      <c r="F6164" s="19"/>
      <c r="G6164" s="19"/>
      <c r="N6164" s="19"/>
      <c r="P6164" s="19"/>
      <c r="AL6164" s="19"/>
    </row>
    <row r="6165" spans="1:38" s="11" customFormat="1" x14ac:dyDescent="0.25">
      <c r="A6165" s="3"/>
      <c r="F6165" s="19"/>
      <c r="G6165" s="19"/>
      <c r="N6165" s="19"/>
      <c r="P6165" s="19"/>
      <c r="AL6165" s="19"/>
    </row>
    <row r="6166" spans="1:38" s="11" customFormat="1" x14ac:dyDescent="0.25">
      <c r="A6166" s="3"/>
      <c r="F6166" s="19"/>
      <c r="G6166" s="19"/>
      <c r="N6166" s="19"/>
      <c r="P6166" s="19"/>
      <c r="AL6166" s="19"/>
    </row>
    <row r="6167" spans="1:38" s="11" customFormat="1" x14ac:dyDescent="0.25">
      <c r="A6167" s="3"/>
      <c r="F6167" s="19"/>
      <c r="G6167" s="19"/>
      <c r="N6167" s="19"/>
      <c r="P6167" s="19"/>
      <c r="AL6167" s="19"/>
    </row>
    <row r="6168" spans="1:38" s="11" customFormat="1" x14ac:dyDescent="0.25">
      <c r="A6168" s="3"/>
      <c r="F6168" s="19"/>
      <c r="G6168" s="19"/>
      <c r="N6168" s="19"/>
      <c r="P6168" s="19"/>
      <c r="AL6168" s="19"/>
    </row>
    <row r="6169" spans="1:38" s="11" customFormat="1" x14ac:dyDescent="0.25">
      <c r="A6169" s="3"/>
      <c r="F6169" s="19"/>
      <c r="G6169" s="19"/>
      <c r="N6169" s="19"/>
      <c r="P6169" s="19"/>
      <c r="AL6169" s="19"/>
    </row>
    <row r="6170" spans="1:38" s="11" customFormat="1" x14ac:dyDescent="0.25">
      <c r="A6170" s="3"/>
      <c r="F6170" s="19"/>
      <c r="G6170" s="19"/>
      <c r="N6170" s="19"/>
      <c r="P6170" s="19"/>
      <c r="AL6170" s="19"/>
    </row>
    <row r="6171" spans="1:38" s="11" customFormat="1" x14ac:dyDescent="0.25">
      <c r="A6171" s="3"/>
      <c r="F6171" s="19"/>
      <c r="G6171" s="19"/>
      <c r="N6171" s="19"/>
      <c r="P6171" s="19"/>
      <c r="AL6171" s="19"/>
    </row>
    <row r="6172" spans="1:38" s="11" customFormat="1" x14ac:dyDescent="0.25">
      <c r="A6172" s="3"/>
      <c r="F6172" s="19"/>
      <c r="G6172" s="19"/>
      <c r="N6172" s="19"/>
      <c r="P6172" s="19"/>
      <c r="AL6172" s="19"/>
    </row>
    <row r="6173" spans="1:38" s="11" customFormat="1" x14ac:dyDescent="0.25">
      <c r="A6173" s="3"/>
      <c r="F6173" s="19"/>
      <c r="G6173" s="19"/>
      <c r="N6173" s="19"/>
      <c r="P6173" s="19"/>
      <c r="AL6173" s="19"/>
    </row>
    <row r="6174" spans="1:38" s="11" customFormat="1" x14ac:dyDescent="0.25">
      <c r="A6174" s="3"/>
      <c r="F6174" s="19"/>
      <c r="G6174" s="19"/>
      <c r="N6174" s="19"/>
      <c r="P6174" s="19"/>
      <c r="AL6174" s="19"/>
    </row>
    <row r="6175" spans="1:38" s="11" customFormat="1" x14ac:dyDescent="0.25">
      <c r="A6175" s="3"/>
      <c r="F6175" s="19"/>
      <c r="G6175" s="19"/>
      <c r="N6175" s="19"/>
      <c r="P6175" s="19"/>
      <c r="AL6175" s="19"/>
    </row>
    <row r="6176" spans="1:38" s="11" customFormat="1" x14ac:dyDescent="0.25">
      <c r="A6176" s="3"/>
      <c r="F6176" s="19"/>
      <c r="G6176" s="19"/>
      <c r="N6176" s="19"/>
      <c r="P6176" s="19"/>
      <c r="AL6176" s="19"/>
    </row>
    <row r="6177" spans="1:38" s="11" customFormat="1" x14ac:dyDescent="0.25">
      <c r="A6177" s="3"/>
      <c r="F6177" s="19"/>
      <c r="G6177" s="19"/>
      <c r="N6177" s="19"/>
      <c r="P6177" s="19"/>
      <c r="AL6177" s="19"/>
    </row>
    <row r="6178" spans="1:38" s="11" customFormat="1" x14ac:dyDescent="0.25">
      <c r="A6178" s="3"/>
      <c r="F6178" s="19"/>
      <c r="G6178" s="19"/>
      <c r="N6178" s="19"/>
      <c r="P6178" s="19"/>
      <c r="AL6178" s="19"/>
    </row>
    <row r="6179" spans="1:38" s="11" customFormat="1" x14ac:dyDescent="0.25">
      <c r="A6179" s="3"/>
      <c r="F6179" s="19"/>
      <c r="G6179" s="19"/>
      <c r="N6179" s="19"/>
      <c r="P6179" s="19"/>
      <c r="AL6179" s="19"/>
    </row>
    <row r="6180" spans="1:38" s="11" customFormat="1" x14ac:dyDescent="0.25">
      <c r="A6180" s="3"/>
      <c r="F6180" s="19"/>
      <c r="G6180" s="19"/>
      <c r="N6180" s="19"/>
      <c r="P6180" s="19"/>
      <c r="AL6180" s="19"/>
    </row>
    <row r="6181" spans="1:38" s="11" customFormat="1" x14ac:dyDescent="0.25">
      <c r="A6181" s="3"/>
      <c r="F6181" s="19"/>
      <c r="G6181" s="19"/>
      <c r="N6181" s="19"/>
      <c r="P6181" s="19"/>
      <c r="AL6181" s="19"/>
    </row>
    <row r="6182" spans="1:38" s="11" customFormat="1" x14ac:dyDescent="0.25">
      <c r="A6182" s="3"/>
      <c r="F6182" s="19"/>
      <c r="G6182" s="19"/>
      <c r="N6182" s="19"/>
      <c r="P6182" s="19"/>
      <c r="AL6182" s="19"/>
    </row>
    <row r="6183" spans="1:38" s="11" customFormat="1" x14ac:dyDescent="0.25">
      <c r="A6183" s="3"/>
      <c r="F6183" s="19"/>
      <c r="G6183" s="19"/>
      <c r="N6183" s="19"/>
      <c r="P6183" s="19"/>
      <c r="AL6183" s="19"/>
    </row>
    <row r="6184" spans="1:38" s="11" customFormat="1" x14ac:dyDescent="0.25">
      <c r="A6184" s="3"/>
      <c r="F6184" s="19"/>
      <c r="G6184" s="19"/>
      <c r="N6184" s="19"/>
      <c r="P6184" s="19"/>
      <c r="AL6184" s="19"/>
    </row>
    <row r="6185" spans="1:38" s="11" customFormat="1" x14ac:dyDescent="0.25">
      <c r="A6185" s="3"/>
      <c r="F6185" s="19"/>
      <c r="G6185" s="19"/>
      <c r="N6185" s="19"/>
      <c r="P6185" s="19"/>
      <c r="AL6185" s="19"/>
    </row>
    <row r="6186" spans="1:38" s="11" customFormat="1" x14ac:dyDescent="0.25">
      <c r="A6186" s="3"/>
      <c r="F6186" s="19"/>
      <c r="G6186" s="19"/>
      <c r="N6186" s="19"/>
      <c r="P6186" s="19"/>
      <c r="AL6186" s="19"/>
    </row>
    <row r="6187" spans="1:38" s="11" customFormat="1" x14ac:dyDescent="0.25">
      <c r="A6187" s="3"/>
      <c r="F6187" s="19"/>
      <c r="G6187" s="19"/>
      <c r="N6187" s="19"/>
      <c r="P6187" s="19"/>
      <c r="AL6187" s="19"/>
    </row>
    <row r="6188" spans="1:38" s="11" customFormat="1" x14ac:dyDescent="0.25">
      <c r="A6188" s="3"/>
      <c r="F6188" s="19"/>
      <c r="G6188" s="19"/>
      <c r="N6188" s="19"/>
      <c r="P6188" s="19"/>
      <c r="AL6188" s="19"/>
    </row>
    <row r="6189" spans="1:38" s="11" customFormat="1" x14ac:dyDescent="0.25">
      <c r="A6189" s="3"/>
      <c r="F6189" s="19"/>
      <c r="G6189" s="19"/>
      <c r="N6189" s="19"/>
      <c r="P6189" s="19"/>
      <c r="AL6189" s="19"/>
    </row>
    <row r="6190" spans="1:38" s="11" customFormat="1" x14ac:dyDescent="0.25">
      <c r="A6190" s="3"/>
      <c r="F6190" s="19"/>
      <c r="G6190" s="19"/>
      <c r="N6190" s="19"/>
      <c r="P6190" s="19"/>
      <c r="AL6190" s="19"/>
    </row>
    <row r="6191" spans="1:38" s="11" customFormat="1" x14ac:dyDescent="0.25">
      <c r="A6191" s="3"/>
      <c r="F6191" s="19"/>
      <c r="G6191" s="19"/>
      <c r="N6191" s="19"/>
      <c r="P6191" s="19"/>
      <c r="AL6191" s="19"/>
    </row>
    <row r="6192" spans="1:38" s="11" customFormat="1" x14ac:dyDescent="0.25">
      <c r="A6192" s="3"/>
      <c r="F6192" s="19"/>
      <c r="G6192" s="19"/>
      <c r="N6192" s="19"/>
      <c r="P6192" s="19"/>
      <c r="AL6192" s="19"/>
    </row>
    <row r="6193" spans="1:38" s="11" customFormat="1" x14ac:dyDescent="0.25">
      <c r="A6193" s="3"/>
      <c r="F6193" s="19"/>
      <c r="G6193" s="19"/>
      <c r="N6193" s="19"/>
      <c r="P6193" s="19"/>
      <c r="AL6193" s="19"/>
    </row>
    <row r="6194" spans="1:38" s="11" customFormat="1" x14ac:dyDescent="0.25">
      <c r="A6194" s="3"/>
      <c r="F6194" s="19"/>
      <c r="G6194" s="19"/>
      <c r="N6194" s="19"/>
      <c r="P6194" s="19"/>
      <c r="AL6194" s="19"/>
    </row>
    <row r="6195" spans="1:38" s="11" customFormat="1" x14ac:dyDescent="0.25">
      <c r="A6195" s="3"/>
      <c r="F6195" s="19"/>
      <c r="G6195" s="19"/>
      <c r="N6195" s="19"/>
      <c r="P6195" s="19"/>
      <c r="AL6195" s="19"/>
    </row>
    <row r="6196" spans="1:38" s="11" customFormat="1" x14ac:dyDescent="0.25">
      <c r="A6196" s="3"/>
      <c r="F6196" s="19"/>
      <c r="G6196" s="19"/>
      <c r="N6196" s="19"/>
      <c r="P6196" s="19"/>
      <c r="AL6196" s="19"/>
    </row>
    <row r="6197" spans="1:38" s="11" customFormat="1" x14ac:dyDescent="0.25">
      <c r="A6197" s="3"/>
      <c r="F6197" s="19"/>
      <c r="G6197" s="19"/>
      <c r="N6197" s="19"/>
      <c r="P6197" s="19"/>
      <c r="AL6197" s="19"/>
    </row>
    <row r="6198" spans="1:38" s="11" customFormat="1" x14ac:dyDescent="0.25">
      <c r="A6198" s="3"/>
      <c r="F6198" s="19"/>
      <c r="G6198" s="19"/>
      <c r="N6198" s="19"/>
      <c r="P6198" s="19"/>
      <c r="AL6198" s="19"/>
    </row>
    <row r="6199" spans="1:38" s="11" customFormat="1" x14ac:dyDescent="0.25">
      <c r="A6199" s="3"/>
      <c r="F6199" s="19"/>
      <c r="G6199" s="19"/>
      <c r="N6199" s="19"/>
      <c r="P6199" s="19"/>
      <c r="AL6199" s="19"/>
    </row>
    <row r="6200" spans="1:38" s="11" customFormat="1" x14ac:dyDescent="0.25">
      <c r="A6200" s="3"/>
      <c r="F6200" s="19"/>
      <c r="G6200" s="19"/>
      <c r="N6200" s="19"/>
      <c r="P6200" s="19"/>
      <c r="AL6200" s="19"/>
    </row>
    <row r="6201" spans="1:38" s="11" customFormat="1" x14ac:dyDescent="0.25">
      <c r="A6201" s="3"/>
      <c r="F6201" s="19"/>
      <c r="G6201" s="19"/>
      <c r="N6201" s="19"/>
      <c r="P6201" s="19"/>
      <c r="AL6201" s="19"/>
    </row>
    <row r="6202" spans="1:38" s="11" customFormat="1" x14ac:dyDescent="0.25">
      <c r="A6202" s="3"/>
      <c r="F6202" s="19"/>
      <c r="G6202" s="19"/>
      <c r="N6202" s="19"/>
      <c r="P6202" s="19"/>
      <c r="AL6202" s="19"/>
    </row>
    <row r="6203" spans="1:38" s="11" customFormat="1" x14ac:dyDescent="0.25">
      <c r="A6203" s="3"/>
      <c r="F6203" s="19"/>
      <c r="G6203" s="19"/>
      <c r="N6203" s="19"/>
      <c r="P6203" s="19"/>
      <c r="AL6203" s="19"/>
    </row>
    <row r="6204" spans="1:38" s="11" customFormat="1" x14ac:dyDescent="0.25">
      <c r="A6204" s="3"/>
      <c r="F6204" s="19"/>
      <c r="G6204" s="19"/>
      <c r="N6204" s="19"/>
      <c r="P6204" s="19"/>
      <c r="AL6204" s="19"/>
    </row>
    <row r="6205" spans="1:38" s="11" customFormat="1" x14ac:dyDescent="0.25">
      <c r="A6205" s="3"/>
      <c r="F6205" s="19"/>
      <c r="G6205" s="19"/>
      <c r="N6205" s="19"/>
      <c r="P6205" s="19"/>
      <c r="AL6205" s="19"/>
    </row>
    <row r="6206" spans="1:38" s="11" customFormat="1" x14ac:dyDescent="0.25">
      <c r="A6206" s="3"/>
      <c r="F6206" s="19"/>
      <c r="G6206" s="19"/>
      <c r="N6206" s="19"/>
      <c r="P6206" s="19"/>
      <c r="AL6206" s="19"/>
    </row>
    <row r="6207" spans="1:38" s="11" customFormat="1" x14ac:dyDescent="0.25">
      <c r="A6207" s="3"/>
      <c r="F6207" s="19"/>
      <c r="G6207" s="19"/>
      <c r="N6207" s="19"/>
      <c r="P6207" s="19"/>
      <c r="AL6207" s="19"/>
    </row>
    <row r="6208" spans="1:38" s="11" customFormat="1" x14ac:dyDescent="0.25">
      <c r="A6208" s="3"/>
      <c r="F6208" s="19"/>
      <c r="G6208" s="19"/>
      <c r="N6208" s="19"/>
      <c r="P6208" s="19"/>
      <c r="AL6208" s="19"/>
    </row>
    <row r="6209" spans="1:38" s="11" customFormat="1" x14ac:dyDescent="0.25">
      <c r="A6209" s="3"/>
      <c r="F6209" s="19"/>
      <c r="G6209" s="19"/>
      <c r="N6209" s="19"/>
      <c r="P6209" s="19"/>
      <c r="AL6209" s="19"/>
    </row>
    <row r="6210" spans="1:38" s="11" customFormat="1" x14ac:dyDescent="0.25">
      <c r="A6210" s="3"/>
      <c r="F6210" s="19"/>
      <c r="G6210" s="19"/>
      <c r="N6210" s="19"/>
      <c r="P6210" s="19"/>
      <c r="AL6210" s="19"/>
    </row>
    <row r="6211" spans="1:38" s="11" customFormat="1" x14ac:dyDescent="0.25">
      <c r="A6211" s="3"/>
      <c r="F6211" s="19"/>
      <c r="G6211" s="19"/>
      <c r="N6211" s="19"/>
      <c r="P6211" s="19"/>
      <c r="AL6211" s="19"/>
    </row>
    <row r="6212" spans="1:38" s="11" customFormat="1" x14ac:dyDescent="0.25">
      <c r="A6212" s="3"/>
      <c r="F6212" s="19"/>
      <c r="G6212" s="19"/>
      <c r="N6212" s="19"/>
      <c r="P6212" s="19"/>
      <c r="AL6212" s="19"/>
    </row>
    <row r="6213" spans="1:38" s="11" customFormat="1" x14ac:dyDescent="0.25">
      <c r="A6213" s="3"/>
      <c r="F6213" s="19"/>
      <c r="G6213" s="19"/>
      <c r="N6213" s="19"/>
      <c r="P6213" s="19"/>
      <c r="AL6213" s="19"/>
    </row>
    <row r="6214" spans="1:38" s="11" customFormat="1" x14ac:dyDescent="0.25">
      <c r="A6214" s="3"/>
      <c r="F6214" s="19"/>
      <c r="G6214" s="19"/>
      <c r="N6214" s="19"/>
      <c r="P6214" s="19"/>
      <c r="AL6214" s="19"/>
    </row>
    <row r="6215" spans="1:38" s="11" customFormat="1" x14ac:dyDescent="0.25">
      <c r="A6215" s="3"/>
      <c r="F6215" s="19"/>
      <c r="G6215" s="19"/>
      <c r="N6215" s="19"/>
      <c r="P6215" s="19"/>
      <c r="AL6215" s="19"/>
    </row>
    <row r="6216" spans="1:38" s="11" customFormat="1" x14ac:dyDescent="0.25">
      <c r="A6216" s="3"/>
      <c r="F6216" s="19"/>
      <c r="G6216" s="19"/>
      <c r="N6216" s="19"/>
      <c r="P6216" s="19"/>
      <c r="AL6216" s="19"/>
    </row>
    <row r="6217" spans="1:38" s="11" customFormat="1" x14ac:dyDescent="0.25">
      <c r="A6217" s="3"/>
      <c r="F6217" s="19"/>
      <c r="G6217" s="19"/>
      <c r="N6217" s="19"/>
      <c r="P6217" s="19"/>
      <c r="AL6217" s="19"/>
    </row>
    <row r="6218" spans="1:38" s="11" customFormat="1" x14ac:dyDescent="0.25">
      <c r="A6218" s="3"/>
      <c r="F6218" s="19"/>
      <c r="G6218" s="19"/>
      <c r="N6218" s="19"/>
      <c r="P6218" s="19"/>
      <c r="AL6218" s="19"/>
    </row>
    <row r="6219" spans="1:38" s="11" customFormat="1" x14ac:dyDescent="0.25">
      <c r="A6219" s="3"/>
      <c r="F6219" s="19"/>
      <c r="G6219" s="19"/>
      <c r="N6219" s="19"/>
      <c r="P6219" s="19"/>
      <c r="AL6219" s="19"/>
    </row>
    <row r="6220" spans="1:38" s="11" customFormat="1" x14ac:dyDescent="0.25">
      <c r="A6220" s="3"/>
      <c r="F6220" s="19"/>
      <c r="G6220" s="19"/>
      <c r="N6220" s="19"/>
      <c r="P6220" s="19"/>
      <c r="AL6220" s="19"/>
    </row>
    <row r="6221" spans="1:38" s="11" customFormat="1" x14ac:dyDescent="0.25">
      <c r="A6221" s="3"/>
      <c r="F6221" s="19"/>
      <c r="G6221" s="19"/>
      <c r="N6221" s="19"/>
      <c r="P6221" s="19"/>
      <c r="AL6221" s="19"/>
    </row>
    <row r="6222" spans="1:38" s="11" customFormat="1" x14ac:dyDescent="0.25">
      <c r="A6222" s="3"/>
      <c r="F6222" s="19"/>
      <c r="G6222" s="19"/>
      <c r="N6222" s="19"/>
      <c r="P6222" s="19"/>
      <c r="AL6222" s="19"/>
    </row>
    <row r="6223" spans="1:38" s="11" customFormat="1" x14ac:dyDescent="0.25">
      <c r="A6223" s="3"/>
      <c r="F6223" s="19"/>
      <c r="G6223" s="19"/>
      <c r="N6223" s="19"/>
      <c r="P6223" s="19"/>
      <c r="AL6223" s="19"/>
    </row>
    <row r="6224" spans="1:38" s="11" customFormat="1" x14ac:dyDescent="0.25">
      <c r="A6224" s="3"/>
      <c r="F6224" s="19"/>
      <c r="G6224" s="19"/>
      <c r="N6224" s="19"/>
      <c r="P6224" s="19"/>
      <c r="AL6224" s="19"/>
    </row>
    <row r="6225" spans="1:38" s="11" customFormat="1" x14ac:dyDescent="0.25">
      <c r="A6225" s="3"/>
      <c r="F6225" s="19"/>
      <c r="G6225" s="19"/>
      <c r="N6225" s="19"/>
      <c r="P6225" s="19"/>
      <c r="AL6225" s="19"/>
    </row>
    <row r="6226" spans="1:38" s="11" customFormat="1" x14ac:dyDescent="0.25">
      <c r="A6226" s="3"/>
      <c r="F6226" s="19"/>
      <c r="G6226" s="19"/>
      <c r="N6226" s="19"/>
      <c r="P6226" s="19"/>
      <c r="AL6226" s="19"/>
    </row>
    <row r="6227" spans="1:38" s="11" customFormat="1" x14ac:dyDescent="0.25">
      <c r="A6227" s="3"/>
      <c r="F6227" s="19"/>
      <c r="G6227" s="19"/>
      <c r="N6227" s="19"/>
      <c r="P6227" s="19"/>
      <c r="AL6227" s="19"/>
    </row>
    <row r="6228" spans="1:38" s="11" customFormat="1" x14ac:dyDescent="0.25">
      <c r="A6228" s="3"/>
      <c r="F6228" s="19"/>
      <c r="G6228" s="19"/>
      <c r="N6228" s="19"/>
      <c r="P6228" s="19"/>
      <c r="AL6228" s="19"/>
    </row>
    <row r="6229" spans="1:38" s="11" customFormat="1" x14ac:dyDescent="0.25">
      <c r="A6229" s="3"/>
      <c r="F6229" s="19"/>
      <c r="G6229" s="19"/>
      <c r="N6229" s="19"/>
      <c r="P6229" s="19"/>
      <c r="AL6229" s="19"/>
    </row>
    <row r="6230" spans="1:38" s="11" customFormat="1" x14ac:dyDescent="0.25">
      <c r="A6230" s="3"/>
      <c r="F6230" s="19"/>
      <c r="G6230" s="19"/>
      <c r="N6230" s="19"/>
      <c r="P6230" s="19"/>
      <c r="AL6230" s="19"/>
    </row>
    <row r="6231" spans="1:38" s="11" customFormat="1" x14ac:dyDescent="0.25">
      <c r="A6231" s="3"/>
      <c r="F6231" s="19"/>
      <c r="G6231" s="19"/>
      <c r="N6231" s="19"/>
      <c r="P6231" s="19"/>
      <c r="AL6231" s="19"/>
    </row>
    <row r="6232" spans="1:38" s="11" customFormat="1" x14ac:dyDescent="0.25">
      <c r="A6232" s="3"/>
      <c r="F6232" s="19"/>
      <c r="G6232" s="19"/>
      <c r="N6232" s="19"/>
      <c r="P6232" s="19"/>
      <c r="AL6232" s="19"/>
    </row>
    <row r="6233" spans="1:38" s="11" customFormat="1" x14ac:dyDescent="0.25">
      <c r="A6233" s="3"/>
      <c r="F6233" s="19"/>
      <c r="G6233" s="19"/>
      <c r="N6233" s="19"/>
      <c r="P6233" s="19"/>
      <c r="AL6233" s="19"/>
    </row>
    <row r="6234" spans="1:38" s="11" customFormat="1" x14ac:dyDescent="0.25">
      <c r="A6234" s="3"/>
      <c r="F6234" s="19"/>
      <c r="G6234" s="19"/>
      <c r="N6234" s="19"/>
      <c r="P6234" s="19"/>
      <c r="AL6234" s="19"/>
    </row>
    <row r="6235" spans="1:38" s="11" customFormat="1" x14ac:dyDescent="0.25">
      <c r="A6235" s="3"/>
      <c r="F6235" s="19"/>
      <c r="G6235" s="19"/>
      <c r="N6235" s="19"/>
      <c r="P6235" s="19"/>
      <c r="AL6235" s="19"/>
    </row>
    <row r="6236" spans="1:38" s="11" customFormat="1" x14ac:dyDescent="0.25">
      <c r="A6236" s="3"/>
      <c r="F6236" s="19"/>
      <c r="G6236" s="19"/>
      <c r="N6236" s="19"/>
      <c r="P6236" s="19"/>
      <c r="AL6236" s="19"/>
    </row>
    <row r="6237" spans="1:38" s="11" customFormat="1" x14ac:dyDescent="0.25">
      <c r="A6237" s="3"/>
      <c r="F6237" s="19"/>
      <c r="G6237" s="19"/>
      <c r="N6237" s="19"/>
      <c r="P6237" s="19"/>
      <c r="AL6237" s="19"/>
    </row>
    <row r="6238" spans="1:38" s="11" customFormat="1" x14ac:dyDescent="0.25">
      <c r="A6238" s="3"/>
      <c r="F6238" s="19"/>
      <c r="G6238" s="19"/>
      <c r="N6238" s="19"/>
      <c r="P6238" s="19"/>
      <c r="AL6238" s="19"/>
    </row>
    <row r="6239" spans="1:38" s="11" customFormat="1" x14ac:dyDescent="0.25">
      <c r="A6239" s="3"/>
      <c r="F6239" s="19"/>
      <c r="G6239" s="19"/>
      <c r="N6239" s="19"/>
      <c r="P6239" s="19"/>
      <c r="AL6239" s="19"/>
    </row>
    <row r="6240" spans="1:38" s="11" customFormat="1" x14ac:dyDescent="0.25">
      <c r="A6240" s="3"/>
      <c r="F6240" s="19"/>
      <c r="G6240" s="19"/>
      <c r="N6240" s="19"/>
      <c r="P6240" s="19"/>
      <c r="AL6240" s="19"/>
    </row>
    <row r="6241" spans="1:38" s="11" customFormat="1" x14ac:dyDescent="0.25">
      <c r="A6241" s="3"/>
      <c r="F6241" s="19"/>
      <c r="G6241" s="19"/>
      <c r="N6241" s="19"/>
      <c r="P6241" s="19"/>
      <c r="AL6241" s="19"/>
    </row>
    <row r="6242" spans="1:38" s="11" customFormat="1" x14ac:dyDescent="0.25">
      <c r="A6242" s="3"/>
      <c r="F6242" s="19"/>
      <c r="G6242" s="19"/>
      <c r="N6242" s="19"/>
      <c r="P6242" s="19"/>
      <c r="AL6242" s="19"/>
    </row>
    <row r="6243" spans="1:38" s="11" customFormat="1" x14ac:dyDescent="0.25">
      <c r="A6243" s="3"/>
      <c r="F6243" s="19"/>
      <c r="G6243" s="19"/>
      <c r="N6243" s="19"/>
      <c r="P6243" s="19"/>
      <c r="AL6243" s="19"/>
    </row>
    <row r="6244" spans="1:38" s="11" customFormat="1" x14ac:dyDescent="0.25">
      <c r="A6244" s="3"/>
      <c r="F6244" s="19"/>
      <c r="G6244" s="19"/>
      <c r="N6244" s="19"/>
      <c r="P6244" s="19"/>
      <c r="AL6244" s="19"/>
    </row>
    <row r="6245" spans="1:38" s="11" customFormat="1" x14ac:dyDescent="0.25">
      <c r="A6245" s="3"/>
      <c r="F6245" s="19"/>
      <c r="G6245" s="19"/>
      <c r="N6245" s="19"/>
      <c r="P6245" s="19"/>
      <c r="AL6245" s="19"/>
    </row>
    <row r="6246" spans="1:38" s="11" customFormat="1" x14ac:dyDescent="0.25">
      <c r="A6246" s="3"/>
      <c r="F6246" s="19"/>
      <c r="G6246" s="19"/>
      <c r="N6246" s="19"/>
      <c r="P6246" s="19"/>
      <c r="AL6246" s="19"/>
    </row>
    <row r="6247" spans="1:38" s="11" customFormat="1" x14ac:dyDescent="0.25">
      <c r="A6247" s="3"/>
      <c r="F6247" s="19"/>
      <c r="G6247" s="19"/>
      <c r="N6247" s="19"/>
      <c r="P6247" s="19"/>
      <c r="AL6247" s="19"/>
    </row>
    <row r="6248" spans="1:38" s="11" customFormat="1" x14ac:dyDescent="0.25">
      <c r="A6248" s="3"/>
      <c r="F6248" s="19"/>
      <c r="G6248" s="19"/>
      <c r="N6248" s="19"/>
      <c r="P6248" s="19"/>
      <c r="AL6248" s="19"/>
    </row>
    <row r="6249" spans="1:38" s="11" customFormat="1" x14ac:dyDescent="0.25">
      <c r="A6249" s="3"/>
      <c r="F6249" s="19"/>
      <c r="G6249" s="19"/>
      <c r="N6249" s="19"/>
      <c r="P6249" s="19"/>
      <c r="AL6249" s="19"/>
    </row>
    <row r="6250" spans="1:38" s="11" customFormat="1" x14ac:dyDescent="0.25">
      <c r="A6250" s="3"/>
      <c r="F6250" s="19"/>
      <c r="G6250" s="19"/>
      <c r="N6250" s="19"/>
      <c r="P6250" s="19"/>
      <c r="AL6250" s="19"/>
    </row>
    <row r="6251" spans="1:38" s="11" customFormat="1" x14ac:dyDescent="0.25">
      <c r="A6251" s="3"/>
      <c r="F6251" s="19"/>
      <c r="G6251" s="19"/>
      <c r="N6251" s="19"/>
      <c r="P6251" s="19"/>
      <c r="AL6251" s="19"/>
    </row>
    <row r="6252" spans="1:38" s="11" customFormat="1" x14ac:dyDescent="0.25">
      <c r="A6252" s="3"/>
      <c r="F6252" s="19"/>
      <c r="G6252" s="19"/>
      <c r="N6252" s="19"/>
      <c r="P6252" s="19"/>
      <c r="AL6252" s="19"/>
    </row>
    <row r="6253" spans="1:38" s="11" customFormat="1" x14ac:dyDescent="0.25">
      <c r="A6253" s="3"/>
      <c r="F6253" s="19"/>
      <c r="G6253" s="19"/>
      <c r="N6253" s="19"/>
      <c r="P6253" s="19"/>
      <c r="AL6253" s="19"/>
    </row>
    <row r="6254" spans="1:38" s="11" customFormat="1" x14ac:dyDescent="0.25">
      <c r="A6254" s="3"/>
      <c r="F6254" s="19"/>
      <c r="G6254" s="19"/>
      <c r="N6254" s="19"/>
      <c r="P6254" s="19"/>
      <c r="AL6254" s="19"/>
    </row>
    <row r="6255" spans="1:38" s="11" customFormat="1" x14ac:dyDescent="0.25">
      <c r="A6255" s="3"/>
      <c r="F6255" s="19"/>
      <c r="G6255" s="19"/>
      <c r="N6255" s="19"/>
      <c r="P6255" s="19"/>
      <c r="AL6255" s="19"/>
    </row>
    <row r="6256" spans="1:38" s="11" customFormat="1" x14ac:dyDescent="0.25">
      <c r="A6256" s="3"/>
      <c r="F6256" s="19"/>
      <c r="G6256" s="19"/>
      <c r="N6256" s="19"/>
      <c r="P6256" s="19"/>
      <c r="AL6256" s="19"/>
    </row>
    <row r="6257" spans="1:38" s="11" customFormat="1" x14ac:dyDescent="0.25">
      <c r="A6257" s="3"/>
      <c r="F6257" s="19"/>
      <c r="G6257" s="19"/>
      <c r="N6257" s="19"/>
      <c r="P6257" s="19"/>
      <c r="AL6257" s="19"/>
    </row>
    <row r="6258" spans="1:38" s="11" customFormat="1" x14ac:dyDescent="0.25">
      <c r="A6258" s="3"/>
      <c r="F6258" s="19"/>
      <c r="G6258" s="19"/>
      <c r="N6258" s="19"/>
      <c r="P6258" s="19"/>
      <c r="AL6258" s="19"/>
    </row>
    <row r="6259" spans="1:38" s="11" customFormat="1" x14ac:dyDescent="0.25">
      <c r="A6259" s="3"/>
      <c r="F6259" s="19"/>
      <c r="G6259" s="19"/>
      <c r="N6259" s="19"/>
      <c r="P6259" s="19"/>
      <c r="AL6259" s="19"/>
    </row>
    <row r="6260" spans="1:38" s="11" customFormat="1" x14ac:dyDescent="0.25">
      <c r="A6260" s="3"/>
      <c r="F6260" s="19"/>
      <c r="G6260" s="19"/>
      <c r="N6260" s="19"/>
      <c r="P6260" s="19"/>
      <c r="AL6260" s="19"/>
    </row>
    <row r="6261" spans="1:38" s="11" customFormat="1" x14ac:dyDescent="0.25">
      <c r="A6261" s="3"/>
      <c r="F6261" s="19"/>
      <c r="G6261" s="19"/>
      <c r="N6261" s="19"/>
      <c r="P6261" s="19"/>
      <c r="AL6261" s="19"/>
    </row>
    <row r="6262" spans="1:38" s="11" customFormat="1" x14ac:dyDescent="0.25">
      <c r="A6262" s="3"/>
      <c r="F6262" s="19"/>
      <c r="G6262" s="19"/>
      <c r="N6262" s="19"/>
      <c r="P6262" s="19"/>
      <c r="AL6262" s="19"/>
    </row>
    <row r="6263" spans="1:38" s="11" customFormat="1" x14ac:dyDescent="0.25">
      <c r="A6263" s="3"/>
      <c r="F6263" s="19"/>
      <c r="G6263" s="19"/>
      <c r="N6263" s="19"/>
      <c r="P6263" s="19"/>
      <c r="AL6263" s="19"/>
    </row>
    <row r="6264" spans="1:38" s="11" customFormat="1" x14ac:dyDescent="0.25">
      <c r="A6264" s="3"/>
      <c r="F6264" s="19"/>
      <c r="G6264" s="19"/>
      <c r="N6264" s="19"/>
      <c r="P6264" s="19"/>
      <c r="AL6264" s="19"/>
    </row>
    <row r="6265" spans="1:38" s="11" customFormat="1" x14ac:dyDescent="0.25">
      <c r="A6265" s="3"/>
      <c r="F6265" s="19"/>
      <c r="G6265" s="19"/>
      <c r="N6265" s="19"/>
      <c r="P6265" s="19"/>
      <c r="AL6265" s="19"/>
    </row>
    <row r="6266" spans="1:38" s="11" customFormat="1" x14ac:dyDescent="0.25">
      <c r="A6266" s="3"/>
      <c r="F6266" s="19"/>
      <c r="G6266" s="19"/>
      <c r="N6266" s="19"/>
      <c r="P6266" s="19"/>
      <c r="AL6266" s="19"/>
    </row>
    <row r="6267" spans="1:38" s="11" customFormat="1" x14ac:dyDescent="0.25">
      <c r="A6267" s="3"/>
      <c r="F6267" s="19"/>
      <c r="G6267" s="19"/>
      <c r="N6267" s="19"/>
      <c r="P6267" s="19"/>
      <c r="AL6267" s="19"/>
    </row>
    <row r="6268" spans="1:38" s="11" customFormat="1" x14ac:dyDescent="0.25">
      <c r="A6268" s="3"/>
      <c r="F6268" s="19"/>
      <c r="G6268" s="19"/>
      <c r="N6268" s="19"/>
      <c r="P6268" s="19"/>
      <c r="AL6268" s="19"/>
    </row>
    <row r="6269" spans="1:38" s="11" customFormat="1" x14ac:dyDescent="0.25">
      <c r="A6269" s="3"/>
      <c r="F6269" s="19"/>
      <c r="G6269" s="19"/>
      <c r="N6269" s="19"/>
      <c r="P6269" s="19"/>
      <c r="AL6269" s="19"/>
    </row>
    <row r="6270" spans="1:38" s="11" customFormat="1" x14ac:dyDescent="0.25">
      <c r="A6270" s="3"/>
      <c r="F6270" s="19"/>
      <c r="G6270" s="19"/>
      <c r="N6270" s="19"/>
      <c r="P6270" s="19"/>
      <c r="AL6270" s="19"/>
    </row>
    <row r="6271" spans="1:38" s="11" customFormat="1" x14ac:dyDescent="0.25">
      <c r="A6271" s="3"/>
      <c r="F6271" s="19"/>
      <c r="G6271" s="19"/>
      <c r="N6271" s="19"/>
      <c r="P6271" s="19"/>
      <c r="AL6271" s="19"/>
    </row>
    <row r="6272" spans="1:38" s="11" customFormat="1" x14ac:dyDescent="0.25">
      <c r="A6272" s="3"/>
      <c r="F6272" s="19"/>
      <c r="G6272" s="19"/>
      <c r="N6272" s="19"/>
      <c r="P6272" s="19"/>
      <c r="AL6272" s="19"/>
    </row>
    <row r="6273" spans="1:38" s="11" customFormat="1" x14ac:dyDescent="0.25">
      <c r="A6273" s="3"/>
      <c r="F6273" s="19"/>
      <c r="G6273" s="19"/>
      <c r="N6273" s="19"/>
      <c r="P6273" s="19"/>
      <c r="AL6273" s="19"/>
    </row>
    <row r="6274" spans="1:38" s="11" customFormat="1" x14ac:dyDescent="0.25">
      <c r="A6274" s="3"/>
      <c r="F6274" s="19"/>
      <c r="G6274" s="19"/>
      <c r="N6274" s="19"/>
      <c r="P6274" s="19"/>
      <c r="AL6274" s="19"/>
    </row>
    <row r="6275" spans="1:38" s="11" customFormat="1" x14ac:dyDescent="0.25">
      <c r="A6275" s="3"/>
      <c r="F6275" s="19"/>
      <c r="G6275" s="19"/>
      <c r="N6275" s="19"/>
      <c r="P6275" s="19"/>
      <c r="AL6275" s="19"/>
    </row>
    <row r="6276" spans="1:38" s="11" customFormat="1" x14ac:dyDescent="0.25">
      <c r="A6276" s="3"/>
      <c r="F6276" s="19"/>
      <c r="G6276" s="19"/>
      <c r="N6276" s="19"/>
      <c r="P6276" s="19"/>
      <c r="AL6276" s="19"/>
    </row>
    <row r="6277" spans="1:38" s="11" customFormat="1" x14ac:dyDescent="0.25">
      <c r="A6277" s="3"/>
      <c r="F6277" s="19"/>
      <c r="G6277" s="19"/>
      <c r="N6277" s="19"/>
      <c r="P6277" s="19"/>
      <c r="AL6277" s="19"/>
    </row>
    <row r="6278" spans="1:38" s="11" customFormat="1" x14ac:dyDescent="0.25">
      <c r="A6278" s="3"/>
      <c r="F6278" s="19"/>
      <c r="G6278" s="19"/>
      <c r="N6278" s="19"/>
      <c r="P6278" s="19"/>
      <c r="AL6278" s="19"/>
    </row>
    <row r="6279" spans="1:38" s="11" customFormat="1" x14ac:dyDescent="0.25">
      <c r="A6279" s="3"/>
      <c r="F6279" s="19"/>
      <c r="G6279" s="19"/>
      <c r="N6279" s="19"/>
      <c r="P6279" s="19"/>
      <c r="AL6279" s="19"/>
    </row>
    <row r="6280" spans="1:38" s="11" customFormat="1" x14ac:dyDescent="0.25">
      <c r="A6280" s="3"/>
      <c r="F6280" s="19"/>
      <c r="G6280" s="19"/>
      <c r="N6280" s="19"/>
      <c r="P6280" s="19"/>
      <c r="AL6280" s="19"/>
    </row>
    <row r="6281" spans="1:38" s="11" customFormat="1" x14ac:dyDescent="0.25">
      <c r="A6281" s="3"/>
      <c r="F6281" s="19"/>
      <c r="G6281" s="19"/>
      <c r="N6281" s="19"/>
      <c r="P6281" s="19"/>
      <c r="AL6281" s="19"/>
    </row>
    <row r="6282" spans="1:38" s="11" customFormat="1" x14ac:dyDescent="0.25">
      <c r="A6282" s="3"/>
      <c r="F6282" s="19"/>
      <c r="G6282" s="19"/>
      <c r="N6282" s="19"/>
      <c r="P6282" s="19"/>
      <c r="AL6282" s="19"/>
    </row>
    <row r="6283" spans="1:38" s="11" customFormat="1" x14ac:dyDescent="0.25">
      <c r="A6283" s="3"/>
      <c r="F6283" s="19"/>
      <c r="G6283" s="19"/>
      <c r="N6283" s="19"/>
      <c r="P6283" s="19"/>
      <c r="AL6283" s="19"/>
    </row>
    <row r="6284" spans="1:38" s="11" customFormat="1" x14ac:dyDescent="0.25">
      <c r="A6284" s="3"/>
      <c r="F6284" s="19"/>
      <c r="G6284" s="19"/>
      <c r="N6284" s="19"/>
      <c r="P6284" s="19"/>
      <c r="AL6284" s="19"/>
    </row>
    <row r="6285" spans="1:38" s="11" customFormat="1" x14ac:dyDescent="0.25">
      <c r="A6285" s="3"/>
      <c r="F6285" s="19"/>
      <c r="G6285" s="19"/>
      <c r="N6285" s="19"/>
      <c r="P6285" s="19"/>
      <c r="AL6285" s="19"/>
    </row>
    <row r="6286" spans="1:38" s="11" customFormat="1" x14ac:dyDescent="0.25">
      <c r="A6286" s="3"/>
      <c r="F6286" s="19"/>
      <c r="G6286" s="19"/>
      <c r="N6286" s="19"/>
      <c r="P6286" s="19"/>
      <c r="AL6286" s="19"/>
    </row>
    <row r="6287" spans="1:38" s="11" customFormat="1" x14ac:dyDescent="0.25">
      <c r="A6287" s="3"/>
      <c r="F6287" s="19"/>
      <c r="G6287" s="19"/>
      <c r="N6287" s="19"/>
      <c r="P6287" s="19"/>
      <c r="AL6287" s="19"/>
    </row>
    <row r="6288" spans="1:38" s="11" customFormat="1" x14ac:dyDescent="0.25">
      <c r="A6288" s="3"/>
      <c r="F6288" s="19"/>
      <c r="G6288" s="19"/>
      <c r="N6288" s="19"/>
      <c r="P6288" s="19"/>
      <c r="AL6288" s="19"/>
    </row>
    <row r="6289" spans="1:38" s="11" customFormat="1" x14ac:dyDescent="0.25">
      <c r="A6289" s="3"/>
      <c r="F6289" s="19"/>
      <c r="G6289" s="19"/>
      <c r="N6289" s="19"/>
      <c r="P6289" s="19"/>
      <c r="AL6289" s="19"/>
    </row>
    <row r="6290" spans="1:38" s="11" customFormat="1" x14ac:dyDescent="0.25">
      <c r="A6290" s="3"/>
      <c r="F6290" s="19"/>
      <c r="G6290" s="19"/>
      <c r="N6290" s="19"/>
      <c r="P6290" s="19"/>
      <c r="AL6290" s="19"/>
    </row>
    <row r="6291" spans="1:38" s="11" customFormat="1" x14ac:dyDescent="0.25">
      <c r="A6291" s="3"/>
      <c r="F6291" s="19"/>
      <c r="G6291" s="19"/>
      <c r="N6291" s="19"/>
      <c r="P6291" s="19"/>
      <c r="AL6291" s="19"/>
    </row>
    <row r="6292" spans="1:38" s="11" customFormat="1" x14ac:dyDescent="0.25">
      <c r="A6292" s="3"/>
      <c r="F6292" s="19"/>
      <c r="G6292" s="19"/>
      <c r="N6292" s="19"/>
      <c r="P6292" s="19"/>
      <c r="AL6292" s="19"/>
    </row>
    <row r="6293" spans="1:38" s="11" customFormat="1" x14ac:dyDescent="0.25">
      <c r="A6293" s="3"/>
      <c r="F6293" s="19"/>
      <c r="G6293" s="19"/>
      <c r="N6293" s="19"/>
      <c r="P6293" s="19"/>
      <c r="AL6293" s="19"/>
    </row>
    <row r="6294" spans="1:38" s="11" customFormat="1" x14ac:dyDescent="0.25">
      <c r="A6294" s="3"/>
      <c r="F6294" s="19"/>
      <c r="G6294" s="19"/>
      <c r="N6294" s="19"/>
      <c r="P6294" s="19"/>
      <c r="AL6294" s="19"/>
    </row>
    <row r="6295" spans="1:38" s="11" customFormat="1" x14ac:dyDescent="0.25">
      <c r="A6295" s="3"/>
      <c r="F6295" s="19"/>
      <c r="G6295" s="19"/>
      <c r="N6295" s="19"/>
      <c r="P6295" s="19"/>
      <c r="AL6295" s="19"/>
    </row>
    <row r="6296" spans="1:38" s="11" customFormat="1" x14ac:dyDescent="0.25">
      <c r="A6296" s="3"/>
      <c r="F6296" s="19"/>
      <c r="G6296" s="19"/>
      <c r="N6296" s="19"/>
      <c r="P6296" s="19"/>
      <c r="AL6296" s="19"/>
    </row>
    <row r="6297" spans="1:38" s="11" customFormat="1" x14ac:dyDescent="0.25">
      <c r="A6297" s="3"/>
      <c r="F6297" s="19"/>
      <c r="G6297" s="19"/>
      <c r="N6297" s="19"/>
      <c r="P6297" s="19"/>
      <c r="AL6297" s="19"/>
    </row>
    <row r="6298" spans="1:38" s="11" customFormat="1" x14ac:dyDescent="0.25">
      <c r="A6298" s="3"/>
      <c r="F6298" s="19"/>
      <c r="G6298" s="19"/>
      <c r="N6298" s="19"/>
      <c r="P6298" s="19"/>
      <c r="AL6298" s="19"/>
    </row>
    <row r="6299" spans="1:38" s="11" customFormat="1" x14ac:dyDescent="0.25">
      <c r="A6299" s="3"/>
      <c r="F6299" s="19"/>
      <c r="G6299" s="19"/>
      <c r="N6299" s="19"/>
      <c r="P6299" s="19"/>
      <c r="AL6299" s="19"/>
    </row>
    <row r="6300" spans="1:38" s="11" customFormat="1" x14ac:dyDescent="0.25">
      <c r="A6300" s="3"/>
      <c r="F6300" s="19"/>
      <c r="G6300" s="19"/>
      <c r="N6300" s="19"/>
      <c r="P6300" s="19"/>
      <c r="AL6300" s="19"/>
    </row>
    <row r="6301" spans="1:38" s="11" customFormat="1" x14ac:dyDescent="0.25">
      <c r="A6301" s="3"/>
      <c r="F6301" s="19"/>
      <c r="G6301" s="19"/>
      <c r="N6301" s="19"/>
      <c r="P6301" s="19"/>
      <c r="AL6301" s="19"/>
    </row>
    <row r="6302" spans="1:38" s="11" customFormat="1" x14ac:dyDescent="0.25">
      <c r="A6302" s="3"/>
      <c r="F6302" s="19"/>
      <c r="G6302" s="19"/>
      <c r="N6302" s="19"/>
      <c r="P6302" s="19"/>
      <c r="AL6302" s="19"/>
    </row>
    <row r="6303" spans="1:38" s="11" customFormat="1" x14ac:dyDescent="0.25">
      <c r="A6303" s="3"/>
      <c r="F6303" s="19"/>
      <c r="G6303" s="19"/>
      <c r="N6303" s="19"/>
      <c r="P6303" s="19"/>
      <c r="AL6303" s="19"/>
    </row>
    <row r="6304" spans="1:38" s="11" customFormat="1" x14ac:dyDescent="0.25">
      <c r="A6304" s="3"/>
      <c r="F6304" s="19"/>
      <c r="G6304" s="19"/>
      <c r="N6304" s="19"/>
      <c r="P6304" s="19"/>
      <c r="AL6304" s="19"/>
    </row>
    <row r="6305" spans="1:38" s="11" customFormat="1" x14ac:dyDescent="0.25">
      <c r="A6305" s="3"/>
      <c r="F6305" s="19"/>
      <c r="G6305" s="19"/>
      <c r="N6305" s="19"/>
      <c r="P6305" s="19"/>
      <c r="AL6305" s="19"/>
    </row>
    <row r="6306" spans="1:38" s="11" customFormat="1" x14ac:dyDescent="0.25">
      <c r="A6306" s="3"/>
      <c r="F6306" s="19"/>
      <c r="G6306" s="19"/>
      <c r="N6306" s="19"/>
      <c r="P6306" s="19"/>
      <c r="AL6306" s="19"/>
    </row>
    <row r="6307" spans="1:38" s="11" customFormat="1" x14ac:dyDescent="0.25">
      <c r="A6307" s="3"/>
      <c r="F6307" s="19"/>
      <c r="G6307" s="19"/>
      <c r="N6307" s="19"/>
      <c r="P6307" s="19"/>
      <c r="AL6307" s="19"/>
    </row>
    <row r="6308" spans="1:38" s="11" customFormat="1" x14ac:dyDescent="0.25">
      <c r="A6308" s="3"/>
      <c r="F6308" s="19"/>
      <c r="G6308" s="19"/>
      <c r="N6308" s="19"/>
      <c r="P6308" s="19"/>
      <c r="AL6308" s="19"/>
    </row>
    <row r="6309" spans="1:38" s="11" customFormat="1" x14ac:dyDescent="0.25">
      <c r="A6309" s="3"/>
      <c r="F6309" s="19"/>
      <c r="G6309" s="19"/>
      <c r="N6309" s="19"/>
      <c r="P6309" s="19"/>
      <c r="AL6309" s="19"/>
    </row>
    <row r="6310" spans="1:38" s="11" customFormat="1" x14ac:dyDescent="0.25">
      <c r="A6310" s="3"/>
      <c r="F6310" s="19"/>
      <c r="G6310" s="19"/>
      <c r="N6310" s="19"/>
      <c r="P6310" s="19"/>
      <c r="AL6310" s="19"/>
    </row>
    <row r="6311" spans="1:38" s="11" customFormat="1" x14ac:dyDescent="0.25">
      <c r="A6311" s="3"/>
      <c r="F6311" s="19"/>
      <c r="G6311" s="19"/>
      <c r="N6311" s="19"/>
      <c r="P6311" s="19"/>
      <c r="AL6311" s="19"/>
    </row>
    <row r="6312" spans="1:38" s="11" customFormat="1" x14ac:dyDescent="0.25">
      <c r="A6312" s="3"/>
      <c r="F6312" s="19"/>
      <c r="G6312" s="19"/>
      <c r="N6312" s="19"/>
      <c r="P6312" s="19"/>
      <c r="AL6312" s="19"/>
    </row>
    <row r="6313" spans="1:38" s="11" customFormat="1" x14ac:dyDescent="0.25">
      <c r="A6313" s="3"/>
      <c r="F6313" s="19"/>
      <c r="G6313" s="19"/>
      <c r="N6313" s="19"/>
      <c r="P6313" s="19"/>
      <c r="AL6313" s="19"/>
    </row>
    <row r="6314" spans="1:38" s="11" customFormat="1" x14ac:dyDescent="0.25">
      <c r="A6314" s="3"/>
      <c r="F6314" s="19"/>
      <c r="G6314" s="19"/>
      <c r="N6314" s="19"/>
      <c r="P6314" s="19"/>
      <c r="AL6314" s="19"/>
    </row>
    <row r="6315" spans="1:38" s="11" customFormat="1" x14ac:dyDescent="0.25">
      <c r="A6315" s="3"/>
      <c r="F6315" s="19"/>
      <c r="G6315" s="19"/>
      <c r="N6315" s="19"/>
      <c r="P6315" s="19"/>
      <c r="AL6315" s="19"/>
    </row>
    <row r="6316" spans="1:38" s="11" customFormat="1" x14ac:dyDescent="0.25">
      <c r="A6316" s="3"/>
      <c r="F6316" s="19"/>
      <c r="G6316" s="19"/>
      <c r="N6316" s="19"/>
      <c r="P6316" s="19"/>
      <c r="AL6316" s="19"/>
    </row>
    <row r="6317" spans="1:38" s="11" customFormat="1" x14ac:dyDescent="0.25">
      <c r="A6317" s="3"/>
      <c r="F6317" s="19"/>
      <c r="G6317" s="19"/>
      <c r="N6317" s="19"/>
      <c r="P6317" s="19"/>
      <c r="AL6317" s="19"/>
    </row>
    <row r="6318" spans="1:38" s="11" customFormat="1" x14ac:dyDescent="0.25">
      <c r="A6318" s="3"/>
      <c r="F6318" s="19"/>
      <c r="G6318" s="19"/>
      <c r="N6318" s="19"/>
      <c r="P6318" s="19"/>
      <c r="AL6318" s="19"/>
    </row>
    <row r="6319" spans="1:38" s="11" customFormat="1" x14ac:dyDescent="0.25">
      <c r="A6319" s="3"/>
      <c r="F6319" s="19"/>
      <c r="G6319" s="19"/>
      <c r="N6319" s="19"/>
      <c r="P6319" s="19"/>
      <c r="AL6319" s="19"/>
    </row>
    <row r="6320" spans="1:38" s="11" customFormat="1" x14ac:dyDescent="0.25">
      <c r="A6320" s="3"/>
      <c r="F6320" s="19"/>
      <c r="G6320" s="19"/>
      <c r="N6320" s="19"/>
      <c r="P6320" s="19"/>
      <c r="AL6320" s="19"/>
    </row>
    <row r="6321" spans="1:38" s="11" customFormat="1" x14ac:dyDescent="0.25">
      <c r="A6321" s="3"/>
      <c r="F6321" s="19"/>
      <c r="G6321" s="19"/>
      <c r="N6321" s="19"/>
      <c r="P6321" s="19"/>
      <c r="AL6321" s="19"/>
    </row>
    <row r="6322" spans="1:38" s="11" customFormat="1" x14ac:dyDescent="0.25">
      <c r="A6322" s="3"/>
      <c r="F6322" s="19"/>
      <c r="G6322" s="19"/>
      <c r="N6322" s="19"/>
      <c r="P6322" s="19"/>
      <c r="AL6322" s="19"/>
    </row>
    <row r="6323" spans="1:38" s="11" customFormat="1" x14ac:dyDescent="0.25">
      <c r="A6323" s="3"/>
      <c r="F6323" s="19"/>
      <c r="G6323" s="19"/>
      <c r="N6323" s="19"/>
      <c r="P6323" s="19"/>
      <c r="AL6323" s="19"/>
    </row>
    <row r="6324" spans="1:38" s="11" customFormat="1" x14ac:dyDescent="0.25">
      <c r="A6324" s="3"/>
      <c r="F6324" s="19"/>
      <c r="G6324" s="19"/>
      <c r="N6324" s="19"/>
      <c r="P6324" s="19"/>
      <c r="AL6324" s="19"/>
    </row>
    <row r="6325" spans="1:38" s="11" customFormat="1" x14ac:dyDescent="0.25">
      <c r="A6325" s="3"/>
      <c r="F6325" s="19"/>
      <c r="G6325" s="19"/>
      <c r="N6325" s="19"/>
      <c r="P6325" s="19"/>
      <c r="AL6325" s="19"/>
    </row>
    <row r="6326" spans="1:38" s="11" customFormat="1" x14ac:dyDescent="0.25">
      <c r="A6326" s="3"/>
      <c r="F6326" s="19"/>
      <c r="G6326" s="19"/>
      <c r="N6326" s="19"/>
      <c r="P6326" s="19"/>
      <c r="AL6326" s="19"/>
    </row>
    <row r="6327" spans="1:38" s="11" customFormat="1" x14ac:dyDescent="0.25">
      <c r="A6327" s="3"/>
      <c r="F6327" s="19"/>
      <c r="G6327" s="19"/>
      <c r="N6327" s="19"/>
      <c r="P6327" s="19"/>
      <c r="AL6327" s="19"/>
    </row>
    <row r="6328" spans="1:38" s="11" customFormat="1" x14ac:dyDescent="0.25">
      <c r="A6328" s="3"/>
      <c r="F6328" s="19"/>
      <c r="G6328" s="19"/>
      <c r="N6328" s="19"/>
      <c r="P6328" s="19"/>
      <c r="AL6328" s="19"/>
    </row>
    <row r="6329" spans="1:38" s="11" customFormat="1" x14ac:dyDescent="0.25">
      <c r="A6329" s="3"/>
      <c r="F6329" s="19"/>
      <c r="G6329" s="19"/>
      <c r="N6329" s="19"/>
      <c r="P6329" s="19"/>
      <c r="AL6329" s="19"/>
    </row>
    <row r="6330" spans="1:38" s="11" customFormat="1" x14ac:dyDescent="0.25">
      <c r="A6330" s="3"/>
      <c r="F6330" s="19"/>
      <c r="G6330" s="19"/>
      <c r="N6330" s="19"/>
      <c r="P6330" s="19"/>
      <c r="AL6330" s="19"/>
    </row>
    <row r="6331" spans="1:38" s="11" customFormat="1" x14ac:dyDescent="0.25">
      <c r="A6331" s="3"/>
      <c r="F6331" s="19"/>
      <c r="G6331" s="19"/>
      <c r="N6331" s="19"/>
      <c r="P6331" s="19"/>
      <c r="AL6331" s="19"/>
    </row>
    <row r="6332" spans="1:38" s="11" customFormat="1" x14ac:dyDescent="0.25">
      <c r="A6332" s="3"/>
      <c r="F6332" s="19"/>
      <c r="G6332" s="19"/>
      <c r="N6332" s="19"/>
      <c r="P6332" s="19"/>
      <c r="AL6332" s="19"/>
    </row>
    <row r="6333" spans="1:38" s="11" customFormat="1" x14ac:dyDescent="0.25">
      <c r="A6333" s="3"/>
      <c r="F6333" s="19"/>
      <c r="G6333" s="19"/>
      <c r="N6333" s="19"/>
      <c r="P6333" s="19"/>
      <c r="AL6333" s="19"/>
    </row>
    <row r="6334" spans="1:38" s="11" customFormat="1" x14ac:dyDescent="0.25">
      <c r="A6334" s="3"/>
      <c r="F6334" s="19"/>
      <c r="G6334" s="19"/>
      <c r="N6334" s="19"/>
      <c r="P6334" s="19"/>
      <c r="AL6334" s="19"/>
    </row>
    <row r="6335" spans="1:38" s="11" customFormat="1" x14ac:dyDescent="0.25">
      <c r="A6335" s="3"/>
      <c r="F6335" s="19"/>
      <c r="G6335" s="19"/>
      <c r="N6335" s="19"/>
      <c r="P6335" s="19"/>
      <c r="AL6335" s="19"/>
    </row>
    <row r="6336" spans="1:38" s="11" customFormat="1" x14ac:dyDescent="0.25">
      <c r="A6336" s="3"/>
      <c r="F6336" s="19"/>
      <c r="G6336" s="19"/>
      <c r="N6336" s="19"/>
      <c r="P6336" s="19"/>
      <c r="AL6336" s="19"/>
    </row>
    <row r="6337" spans="1:38" s="11" customFormat="1" x14ac:dyDescent="0.25">
      <c r="A6337" s="3"/>
      <c r="F6337" s="19"/>
      <c r="G6337" s="19"/>
      <c r="N6337" s="19"/>
      <c r="P6337" s="19"/>
      <c r="AL6337" s="19"/>
    </row>
    <row r="6338" spans="1:38" s="11" customFormat="1" x14ac:dyDescent="0.25">
      <c r="A6338" s="3"/>
      <c r="F6338" s="19"/>
      <c r="G6338" s="19"/>
      <c r="N6338" s="19"/>
      <c r="P6338" s="19"/>
      <c r="AL6338" s="19"/>
    </row>
    <row r="6339" spans="1:38" s="11" customFormat="1" x14ac:dyDescent="0.25">
      <c r="A6339" s="3"/>
      <c r="F6339" s="19"/>
      <c r="G6339" s="19"/>
      <c r="N6339" s="19"/>
      <c r="P6339" s="19"/>
      <c r="AL6339" s="19"/>
    </row>
    <row r="6340" spans="1:38" s="11" customFormat="1" x14ac:dyDescent="0.25">
      <c r="A6340" s="3"/>
      <c r="F6340" s="19"/>
      <c r="G6340" s="19"/>
      <c r="N6340" s="19"/>
      <c r="P6340" s="19"/>
      <c r="AL6340" s="19"/>
    </row>
    <row r="6341" spans="1:38" s="11" customFormat="1" x14ac:dyDescent="0.25">
      <c r="A6341" s="3"/>
      <c r="F6341" s="19"/>
      <c r="G6341" s="19"/>
      <c r="N6341" s="19"/>
      <c r="P6341" s="19"/>
      <c r="AL6341" s="19"/>
    </row>
    <row r="6342" spans="1:38" s="11" customFormat="1" x14ac:dyDescent="0.25">
      <c r="A6342" s="3"/>
      <c r="F6342" s="19"/>
      <c r="G6342" s="19"/>
      <c r="N6342" s="19"/>
      <c r="P6342" s="19"/>
      <c r="AL6342" s="19"/>
    </row>
    <row r="6343" spans="1:38" s="11" customFormat="1" x14ac:dyDescent="0.25">
      <c r="A6343" s="3"/>
      <c r="F6343" s="19"/>
      <c r="G6343" s="19"/>
      <c r="N6343" s="19"/>
      <c r="P6343" s="19"/>
      <c r="AL6343" s="19"/>
    </row>
    <row r="6344" spans="1:38" s="11" customFormat="1" x14ac:dyDescent="0.25">
      <c r="A6344" s="3"/>
      <c r="F6344" s="19"/>
      <c r="G6344" s="19"/>
      <c r="N6344" s="19"/>
      <c r="P6344" s="19"/>
      <c r="AL6344" s="19"/>
    </row>
    <row r="6345" spans="1:38" s="11" customFormat="1" x14ac:dyDescent="0.25">
      <c r="A6345" s="3"/>
      <c r="F6345" s="19"/>
      <c r="G6345" s="19"/>
      <c r="N6345" s="19"/>
      <c r="P6345" s="19"/>
      <c r="AL6345" s="19"/>
    </row>
    <row r="6346" spans="1:38" s="11" customFormat="1" x14ac:dyDescent="0.25">
      <c r="A6346" s="3"/>
      <c r="F6346" s="19"/>
      <c r="G6346" s="19"/>
      <c r="N6346" s="19"/>
      <c r="P6346" s="19"/>
      <c r="AL6346" s="19"/>
    </row>
    <row r="6347" spans="1:38" s="11" customFormat="1" x14ac:dyDescent="0.25">
      <c r="A6347" s="3"/>
      <c r="F6347" s="19"/>
      <c r="G6347" s="19"/>
      <c r="N6347" s="19"/>
      <c r="P6347" s="19"/>
      <c r="AL6347" s="19"/>
    </row>
    <row r="6348" spans="1:38" s="11" customFormat="1" x14ac:dyDescent="0.25">
      <c r="A6348" s="3"/>
      <c r="F6348" s="19"/>
      <c r="G6348" s="19"/>
      <c r="N6348" s="19"/>
      <c r="P6348" s="19"/>
      <c r="AL6348" s="19"/>
    </row>
    <row r="6349" spans="1:38" s="11" customFormat="1" x14ac:dyDescent="0.25">
      <c r="A6349" s="3"/>
      <c r="F6349" s="19"/>
      <c r="G6349" s="19"/>
      <c r="N6349" s="19"/>
      <c r="P6349" s="19"/>
      <c r="AL6349" s="19"/>
    </row>
    <row r="6350" spans="1:38" s="11" customFormat="1" x14ac:dyDescent="0.25">
      <c r="A6350" s="3"/>
      <c r="F6350" s="19"/>
      <c r="G6350" s="19"/>
      <c r="N6350" s="19"/>
      <c r="P6350" s="19"/>
      <c r="AL6350" s="19"/>
    </row>
    <row r="6351" spans="1:38" s="11" customFormat="1" x14ac:dyDescent="0.25">
      <c r="A6351" s="3"/>
      <c r="F6351" s="19"/>
      <c r="G6351" s="19"/>
      <c r="N6351" s="19"/>
      <c r="P6351" s="19"/>
      <c r="AL6351" s="19"/>
    </row>
    <row r="6352" spans="1:38" s="11" customFormat="1" x14ac:dyDescent="0.25">
      <c r="A6352" s="3"/>
      <c r="F6352" s="19"/>
      <c r="G6352" s="19"/>
      <c r="N6352" s="19"/>
      <c r="P6352" s="19"/>
      <c r="AL6352" s="19"/>
    </row>
    <row r="6353" spans="1:38" s="11" customFormat="1" x14ac:dyDescent="0.25">
      <c r="A6353" s="3"/>
      <c r="F6353" s="19"/>
      <c r="G6353" s="19"/>
      <c r="N6353" s="19"/>
      <c r="P6353" s="19"/>
      <c r="AL6353" s="19"/>
    </row>
    <row r="6354" spans="1:38" s="11" customFormat="1" x14ac:dyDescent="0.25">
      <c r="A6354" s="3"/>
      <c r="F6354" s="19"/>
      <c r="G6354" s="19"/>
      <c r="N6354" s="19"/>
      <c r="P6354" s="19"/>
      <c r="AL6354" s="19"/>
    </row>
    <row r="6355" spans="1:38" s="11" customFormat="1" x14ac:dyDescent="0.25">
      <c r="A6355" s="3"/>
      <c r="F6355" s="19"/>
      <c r="G6355" s="19"/>
      <c r="N6355" s="19"/>
      <c r="P6355" s="19"/>
      <c r="AL6355" s="19"/>
    </row>
    <row r="6356" spans="1:38" s="11" customFormat="1" x14ac:dyDescent="0.25">
      <c r="A6356" s="3"/>
      <c r="F6356" s="19"/>
      <c r="G6356" s="19"/>
      <c r="N6356" s="19"/>
      <c r="P6356" s="19"/>
      <c r="AL6356" s="19"/>
    </row>
    <row r="6357" spans="1:38" s="11" customFormat="1" x14ac:dyDescent="0.25">
      <c r="A6357" s="3"/>
      <c r="F6357" s="19"/>
      <c r="G6357" s="19"/>
      <c r="N6357" s="19"/>
      <c r="P6357" s="19"/>
      <c r="AL6357" s="19"/>
    </row>
    <row r="6358" spans="1:38" s="11" customFormat="1" x14ac:dyDescent="0.25">
      <c r="A6358" s="3"/>
      <c r="F6358" s="19"/>
      <c r="G6358" s="19"/>
      <c r="N6358" s="19"/>
      <c r="P6358" s="19"/>
      <c r="AL6358" s="19"/>
    </row>
    <row r="6359" spans="1:38" s="11" customFormat="1" x14ac:dyDescent="0.25">
      <c r="A6359" s="3"/>
      <c r="F6359" s="19"/>
      <c r="G6359" s="19"/>
      <c r="N6359" s="19"/>
      <c r="P6359" s="19"/>
      <c r="AL6359" s="19"/>
    </row>
    <row r="6360" spans="1:38" s="11" customFormat="1" x14ac:dyDescent="0.25">
      <c r="A6360" s="3"/>
      <c r="F6360" s="19"/>
      <c r="G6360" s="19"/>
      <c r="N6360" s="19"/>
      <c r="P6360" s="19"/>
      <c r="AL6360" s="19"/>
    </row>
    <row r="6361" spans="1:38" s="11" customFormat="1" x14ac:dyDescent="0.25">
      <c r="A6361" s="3"/>
      <c r="F6361" s="19"/>
      <c r="G6361" s="19"/>
      <c r="N6361" s="19"/>
      <c r="P6361" s="19"/>
      <c r="AL6361" s="19"/>
    </row>
    <row r="6362" spans="1:38" s="11" customFormat="1" x14ac:dyDescent="0.25">
      <c r="A6362" s="3"/>
      <c r="F6362" s="19"/>
      <c r="G6362" s="19"/>
      <c r="N6362" s="19"/>
      <c r="P6362" s="19"/>
      <c r="AL6362" s="19"/>
    </row>
    <row r="6363" spans="1:38" s="11" customFormat="1" x14ac:dyDescent="0.25">
      <c r="A6363" s="3"/>
      <c r="F6363" s="19"/>
      <c r="G6363" s="19"/>
      <c r="N6363" s="19"/>
      <c r="P6363" s="19"/>
      <c r="AL6363" s="19"/>
    </row>
    <row r="6364" spans="1:38" s="11" customFormat="1" x14ac:dyDescent="0.25">
      <c r="A6364" s="3"/>
      <c r="F6364" s="19"/>
      <c r="G6364" s="19"/>
      <c r="N6364" s="19"/>
      <c r="P6364" s="19"/>
      <c r="AL6364" s="19"/>
    </row>
    <row r="6365" spans="1:38" s="11" customFormat="1" x14ac:dyDescent="0.25">
      <c r="A6365" s="3"/>
      <c r="F6365" s="19"/>
      <c r="G6365" s="19"/>
      <c r="N6365" s="19"/>
      <c r="P6365" s="19"/>
      <c r="AL6365" s="19"/>
    </row>
    <row r="6366" spans="1:38" s="11" customFormat="1" x14ac:dyDescent="0.25">
      <c r="A6366" s="3"/>
      <c r="F6366" s="19"/>
      <c r="G6366" s="19"/>
      <c r="N6366" s="19"/>
      <c r="P6366" s="19"/>
      <c r="AL6366" s="19"/>
    </row>
    <row r="6367" spans="1:38" s="11" customFormat="1" x14ac:dyDescent="0.25">
      <c r="A6367" s="3"/>
      <c r="F6367" s="19"/>
      <c r="G6367" s="19"/>
      <c r="N6367" s="19"/>
      <c r="P6367" s="19"/>
      <c r="AL6367" s="19"/>
    </row>
    <row r="6368" spans="1:38" s="11" customFormat="1" x14ac:dyDescent="0.25">
      <c r="A6368" s="3"/>
      <c r="F6368" s="19"/>
      <c r="G6368" s="19"/>
      <c r="N6368" s="19"/>
      <c r="P6368" s="19"/>
      <c r="AL6368" s="19"/>
    </row>
    <row r="6369" spans="1:38" s="11" customFormat="1" x14ac:dyDescent="0.25">
      <c r="A6369" s="3"/>
      <c r="F6369" s="19"/>
      <c r="G6369" s="19"/>
      <c r="N6369" s="19"/>
      <c r="P6369" s="19"/>
      <c r="AL6369" s="19"/>
    </row>
    <row r="6370" spans="1:38" s="11" customFormat="1" x14ac:dyDescent="0.25">
      <c r="A6370" s="3"/>
      <c r="F6370" s="19"/>
      <c r="G6370" s="19"/>
      <c r="N6370" s="19"/>
      <c r="P6370" s="19"/>
      <c r="AL6370" s="19"/>
    </row>
    <row r="6371" spans="1:38" s="11" customFormat="1" x14ac:dyDescent="0.25">
      <c r="A6371" s="3"/>
      <c r="F6371" s="19"/>
      <c r="G6371" s="19"/>
      <c r="N6371" s="19"/>
      <c r="P6371" s="19"/>
      <c r="AL6371" s="19"/>
    </row>
    <row r="6372" spans="1:38" s="11" customFormat="1" x14ac:dyDescent="0.25">
      <c r="A6372" s="3"/>
      <c r="F6372" s="19"/>
      <c r="G6372" s="19"/>
      <c r="N6372" s="19"/>
      <c r="P6372" s="19"/>
      <c r="AL6372" s="19"/>
    </row>
    <row r="6373" spans="1:38" s="11" customFormat="1" x14ac:dyDescent="0.25">
      <c r="A6373" s="3"/>
      <c r="F6373" s="19"/>
      <c r="G6373" s="19"/>
      <c r="N6373" s="19"/>
      <c r="P6373" s="19"/>
      <c r="AL6373" s="19"/>
    </row>
    <row r="6374" spans="1:38" s="11" customFormat="1" x14ac:dyDescent="0.25">
      <c r="A6374" s="3"/>
      <c r="F6374" s="19"/>
      <c r="G6374" s="19"/>
      <c r="N6374" s="19"/>
      <c r="P6374" s="19"/>
      <c r="AL6374" s="19"/>
    </row>
    <row r="6375" spans="1:38" s="11" customFormat="1" x14ac:dyDescent="0.25">
      <c r="A6375" s="3"/>
      <c r="F6375" s="19"/>
      <c r="G6375" s="19"/>
      <c r="N6375" s="19"/>
      <c r="P6375" s="19"/>
      <c r="AL6375" s="19"/>
    </row>
    <row r="6376" spans="1:38" s="11" customFormat="1" x14ac:dyDescent="0.25">
      <c r="A6376" s="3"/>
      <c r="F6376" s="19"/>
      <c r="G6376" s="19"/>
      <c r="N6376" s="19"/>
      <c r="P6376" s="19"/>
      <c r="AL6376" s="19"/>
    </row>
    <row r="6377" spans="1:38" s="11" customFormat="1" x14ac:dyDescent="0.25">
      <c r="A6377" s="3"/>
      <c r="F6377" s="19"/>
      <c r="G6377" s="19"/>
      <c r="N6377" s="19"/>
      <c r="P6377" s="19"/>
      <c r="AL6377" s="19"/>
    </row>
    <row r="6378" spans="1:38" s="11" customFormat="1" x14ac:dyDescent="0.25">
      <c r="A6378" s="3"/>
      <c r="F6378" s="19"/>
      <c r="G6378" s="19"/>
      <c r="N6378" s="19"/>
      <c r="P6378" s="19"/>
      <c r="AL6378" s="19"/>
    </row>
    <row r="6379" spans="1:38" s="11" customFormat="1" x14ac:dyDescent="0.25">
      <c r="A6379" s="3"/>
      <c r="F6379" s="19"/>
      <c r="G6379" s="19"/>
      <c r="N6379" s="19"/>
      <c r="P6379" s="19"/>
      <c r="AL6379" s="19"/>
    </row>
    <row r="6380" spans="1:38" s="11" customFormat="1" x14ac:dyDescent="0.25">
      <c r="A6380" s="3"/>
      <c r="F6380" s="19"/>
      <c r="G6380" s="19"/>
      <c r="N6380" s="19"/>
      <c r="P6380" s="19"/>
      <c r="AL6380" s="19"/>
    </row>
    <row r="6381" spans="1:38" s="11" customFormat="1" x14ac:dyDescent="0.25">
      <c r="A6381" s="3"/>
      <c r="F6381" s="19"/>
      <c r="G6381" s="19"/>
      <c r="N6381" s="19"/>
      <c r="P6381" s="19"/>
      <c r="AL6381" s="19"/>
    </row>
    <row r="6382" spans="1:38" s="11" customFormat="1" x14ac:dyDescent="0.25">
      <c r="A6382" s="3"/>
      <c r="F6382" s="19"/>
      <c r="G6382" s="19"/>
      <c r="N6382" s="19"/>
      <c r="P6382" s="19"/>
      <c r="AL6382" s="19"/>
    </row>
    <row r="6383" spans="1:38" s="11" customFormat="1" x14ac:dyDescent="0.25">
      <c r="A6383" s="3"/>
      <c r="F6383" s="19"/>
      <c r="G6383" s="19"/>
      <c r="N6383" s="19"/>
      <c r="P6383" s="19"/>
      <c r="AL6383" s="19"/>
    </row>
    <row r="6384" spans="1:38" s="11" customFormat="1" x14ac:dyDescent="0.25">
      <c r="A6384" s="3"/>
      <c r="F6384" s="19"/>
      <c r="G6384" s="19"/>
      <c r="N6384" s="19"/>
      <c r="P6384" s="19"/>
      <c r="AL6384" s="19"/>
    </row>
    <row r="6385" spans="1:38" s="11" customFormat="1" x14ac:dyDescent="0.25">
      <c r="A6385" s="3"/>
      <c r="F6385" s="19"/>
      <c r="G6385" s="19"/>
      <c r="N6385" s="19"/>
      <c r="P6385" s="19"/>
      <c r="AL6385" s="19"/>
    </row>
    <row r="6386" spans="1:38" s="11" customFormat="1" x14ac:dyDescent="0.25">
      <c r="A6386" s="3"/>
      <c r="F6386" s="19"/>
      <c r="G6386" s="19"/>
      <c r="N6386" s="19"/>
      <c r="P6386" s="19"/>
      <c r="AL6386" s="19"/>
    </row>
    <row r="6387" spans="1:38" s="11" customFormat="1" x14ac:dyDescent="0.25">
      <c r="A6387" s="3"/>
      <c r="F6387" s="19"/>
      <c r="G6387" s="19"/>
      <c r="N6387" s="19"/>
      <c r="P6387" s="19"/>
      <c r="AL6387" s="19"/>
    </row>
    <row r="6388" spans="1:38" s="11" customFormat="1" x14ac:dyDescent="0.25">
      <c r="A6388" s="3"/>
      <c r="F6388" s="19"/>
      <c r="G6388" s="19"/>
      <c r="N6388" s="19"/>
      <c r="P6388" s="19"/>
      <c r="AL6388" s="19"/>
    </row>
    <row r="6389" spans="1:38" s="11" customFormat="1" x14ac:dyDescent="0.25">
      <c r="A6389" s="3"/>
      <c r="F6389" s="19"/>
      <c r="G6389" s="19"/>
      <c r="N6389" s="19"/>
      <c r="P6389" s="19"/>
      <c r="AL6389" s="19"/>
    </row>
    <row r="6390" spans="1:38" s="11" customFormat="1" x14ac:dyDescent="0.25">
      <c r="A6390" s="3"/>
      <c r="F6390" s="19"/>
      <c r="G6390" s="19"/>
      <c r="N6390" s="19"/>
      <c r="P6390" s="19"/>
      <c r="AL6390" s="19"/>
    </row>
    <row r="6391" spans="1:38" s="11" customFormat="1" x14ac:dyDescent="0.25">
      <c r="A6391" s="3"/>
      <c r="F6391" s="19"/>
      <c r="G6391" s="19"/>
      <c r="N6391" s="19"/>
      <c r="P6391" s="19"/>
      <c r="AL6391" s="19"/>
    </row>
    <row r="6392" spans="1:38" s="11" customFormat="1" x14ac:dyDescent="0.25">
      <c r="A6392" s="3"/>
      <c r="F6392" s="19"/>
      <c r="G6392" s="19"/>
      <c r="N6392" s="19"/>
      <c r="P6392" s="19"/>
      <c r="AL6392" s="19"/>
    </row>
    <row r="6393" spans="1:38" s="11" customFormat="1" x14ac:dyDescent="0.25">
      <c r="A6393" s="3"/>
      <c r="F6393" s="19"/>
      <c r="G6393" s="19"/>
      <c r="N6393" s="19"/>
      <c r="P6393" s="19"/>
      <c r="AL6393" s="19"/>
    </row>
    <row r="6394" spans="1:38" s="11" customFormat="1" x14ac:dyDescent="0.25">
      <c r="A6394" s="3"/>
      <c r="F6394" s="19"/>
      <c r="G6394" s="19"/>
      <c r="N6394" s="19"/>
      <c r="P6394" s="19"/>
      <c r="AL6394" s="19"/>
    </row>
    <row r="6395" spans="1:38" s="11" customFormat="1" x14ac:dyDescent="0.25">
      <c r="A6395" s="3"/>
      <c r="F6395" s="19"/>
      <c r="G6395" s="19"/>
      <c r="N6395" s="19"/>
      <c r="P6395" s="19"/>
      <c r="AL6395" s="19"/>
    </row>
    <row r="6396" spans="1:38" s="11" customFormat="1" x14ac:dyDescent="0.25">
      <c r="A6396" s="3"/>
      <c r="F6396" s="19"/>
      <c r="G6396" s="19"/>
      <c r="N6396" s="19"/>
      <c r="P6396" s="19"/>
      <c r="AL6396" s="19"/>
    </row>
    <row r="6397" spans="1:38" s="11" customFormat="1" x14ac:dyDescent="0.25">
      <c r="A6397" s="3"/>
      <c r="F6397" s="19"/>
      <c r="G6397" s="19"/>
      <c r="N6397" s="19"/>
      <c r="P6397" s="19"/>
      <c r="AL6397" s="19"/>
    </row>
    <row r="6398" spans="1:38" s="11" customFormat="1" x14ac:dyDescent="0.25">
      <c r="A6398" s="3"/>
      <c r="F6398" s="19"/>
      <c r="G6398" s="19"/>
      <c r="N6398" s="19"/>
      <c r="P6398" s="19"/>
      <c r="AL6398" s="19"/>
    </row>
    <row r="6399" spans="1:38" s="11" customFormat="1" x14ac:dyDescent="0.25">
      <c r="A6399" s="3"/>
      <c r="F6399" s="19"/>
      <c r="G6399" s="19"/>
      <c r="N6399" s="19"/>
      <c r="P6399" s="19"/>
      <c r="AL6399" s="19"/>
    </row>
    <row r="6400" spans="1:38" s="11" customFormat="1" x14ac:dyDescent="0.25">
      <c r="A6400" s="3"/>
      <c r="F6400" s="19"/>
      <c r="G6400" s="19"/>
      <c r="N6400" s="19"/>
      <c r="P6400" s="19"/>
      <c r="AL6400" s="19"/>
    </row>
    <row r="6401" spans="1:38" s="11" customFormat="1" x14ac:dyDescent="0.25">
      <c r="A6401" s="3"/>
      <c r="F6401" s="19"/>
      <c r="G6401" s="19"/>
      <c r="N6401" s="19"/>
      <c r="P6401" s="19"/>
      <c r="AL6401" s="19"/>
    </row>
    <row r="6402" spans="1:38" s="11" customFormat="1" x14ac:dyDescent="0.25">
      <c r="A6402" s="3"/>
      <c r="F6402" s="19"/>
      <c r="G6402" s="19"/>
      <c r="N6402" s="19"/>
      <c r="P6402" s="19"/>
      <c r="AL6402" s="19"/>
    </row>
    <row r="6403" spans="1:38" s="11" customFormat="1" x14ac:dyDescent="0.25">
      <c r="A6403" s="3"/>
      <c r="F6403" s="19"/>
      <c r="G6403" s="19"/>
      <c r="N6403" s="19"/>
      <c r="P6403" s="19"/>
      <c r="AL6403" s="19"/>
    </row>
    <row r="6404" spans="1:38" s="11" customFormat="1" x14ac:dyDescent="0.25">
      <c r="A6404" s="3"/>
      <c r="F6404" s="19"/>
      <c r="G6404" s="19"/>
      <c r="N6404" s="19"/>
      <c r="P6404" s="19"/>
      <c r="AL6404" s="19"/>
    </row>
    <row r="6405" spans="1:38" s="11" customFormat="1" x14ac:dyDescent="0.25">
      <c r="A6405" s="3"/>
      <c r="F6405" s="19"/>
      <c r="G6405" s="19"/>
      <c r="N6405" s="19"/>
      <c r="P6405" s="19"/>
      <c r="AL6405" s="19"/>
    </row>
    <row r="6406" spans="1:38" s="11" customFormat="1" x14ac:dyDescent="0.25">
      <c r="A6406" s="3"/>
      <c r="F6406" s="19"/>
      <c r="G6406" s="19"/>
      <c r="N6406" s="19"/>
      <c r="P6406" s="19"/>
      <c r="AL6406" s="19"/>
    </row>
    <row r="6407" spans="1:38" s="11" customFormat="1" x14ac:dyDescent="0.25">
      <c r="A6407" s="3"/>
      <c r="F6407" s="19"/>
      <c r="G6407" s="19"/>
      <c r="N6407" s="19"/>
      <c r="P6407" s="19"/>
      <c r="AL6407" s="19"/>
    </row>
    <row r="6408" spans="1:38" s="11" customFormat="1" x14ac:dyDescent="0.25">
      <c r="A6408" s="3"/>
      <c r="F6408" s="19"/>
      <c r="G6408" s="19"/>
      <c r="N6408" s="19"/>
      <c r="P6408" s="19"/>
      <c r="AL6408" s="19"/>
    </row>
    <row r="6409" spans="1:38" s="11" customFormat="1" x14ac:dyDescent="0.25">
      <c r="A6409" s="3"/>
      <c r="F6409" s="19"/>
      <c r="G6409" s="19"/>
      <c r="N6409" s="19"/>
      <c r="P6409" s="19"/>
      <c r="AL6409" s="19"/>
    </row>
    <row r="6410" spans="1:38" s="11" customFormat="1" x14ac:dyDescent="0.25">
      <c r="A6410" s="3"/>
      <c r="F6410" s="19"/>
      <c r="G6410" s="19"/>
      <c r="N6410" s="19"/>
      <c r="P6410" s="19"/>
      <c r="AL6410" s="19"/>
    </row>
    <row r="6411" spans="1:38" s="11" customFormat="1" x14ac:dyDescent="0.25">
      <c r="A6411" s="3"/>
      <c r="F6411" s="19"/>
      <c r="G6411" s="19"/>
      <c r="N6411" s="19"/>
      <c r="P6411" s="19"/>
      <c r="AL6411" s="19"/>
    </row>
    <row r="6412" spans="1:38" s="11" customFormat="1" x14ac:dyDescent="0.25">
      <c r="A6412" s="3"/>
      <c r="F6412" s="19"/>
      <c r="G6412" s="19"/>
      <c r="N6412" s="19"/>
      <c r="P6412" s="19"/>
      <c r="AL6412" s="19"/>
    </row>
    <row r="6413" spans="1:38" s="11" customFormat="1" x14ac:dyDescent="0.25">
      <c r="A6413" s="3"/>
      <c r="F6413" s="19"/>
      <c r="G6413" s="19"/>
      <c r="N6413" s="19"/>
      <c r="P6413" s="19"/>
      <c r="AL6413" s="19"/>
    </row>
    <row r="6414" spans="1:38" s="11" customFormat="1" x14ac:dyDescent="0.25">
      <c r="A6414" s="3"/>
      <c r="F6414" s="19"/>
      <c r="G6414" s="19"/>
      <c r="N6414" s="19"/>
      <c r="P6414" s="19"/>
      <c r="AL6414" s="19"/>
    </row>
    <row r="6415" spans="1:38" s="11" customFormat="1" x14ac:dyDescent="0.25">
      <c r="A6415" s="3"/>
      <c r="F6415" s="19"/>
      <c r="G6415" s="19"/>
      <c r="N6415" s="19"/>
      <c r="P6415" s="19"/>
      <c r="AL6415" s="19"/>
    </row>
    <row r="6416" spans="1:38" s="11" customFormat="1" x14ac:dyDescent="0.25">
      <c r="A6416" s="3"/>
      <c r="F6416" s="19"/>
      <c r="G6416" s="19"/>
      <c r="N6416" s="19"/>
      <c r="P6416" s="19"/>
      <c r="AL6416" s="19"/>
    </row>
    <row r="6417" spans="1:38" s="11" customFormat="1" x14ac:dyDescent="0.25">
      <c r="A6417" s="3"/>
      <c r="F6417" s="19"/>
      <c r="G6417" s="19"/>
      <c r="N6417" s="19"/>
      <c r="P6417" s="19"/>
      <c r="AL6417" s="19"/>
    </row>
    <row r="6418" spans="1:38" s="11" customFormat="1" x14ac:dyDescent="0.25">
      <c r="A6418" s="3"/>
      <c r="F6418" s="19"/>
      <c r="G6418" s="19"/>
      <c r="N6418" s="19"/>
      <c r="P6418" s="19"/>
      <c r="AL6418" s="19"/>
    </row>
    <row r="6419" spans="1:38" s="11" customFormat="1" x14ac:dyDescent="0.25">
      <c r="A6419" s="3"/>
      <c r="F6419" s="19"/>
      <c r="G6419" s="19"/>
      <c r="N6419" s="19"/>
      <c r="P6419" s="19"/>
      <c r="AL6419" s="19"/>
    </row>
    <row r="6420" spans="1:38" s="11" customFormat="1" x14ac:dyDescent="0.25">
      <c r="A6420" s="3"/>
      <c r="F6420" s="19"/>
      <c r="G6420" s="19"/>
      <c r="N6420" s="19"/>
      <c r="P6420" s="19"/>
      <c r="AL6420" s="19"/>
    </row>
    <row r="6421" spans="1:38" s="11" customFormat="1" x14ac:dyDescent="0.25">
      <c r="A6421" s="3"/>
      <c r="F6421" s="19"/>
      <c r="G6421" s="19"/>
      <c r="N6421" s="19"/>
      <c r="P6421" s="19"/>
      <c r="AL6421" s="19"/>
    </row>
    <row r="6422" spans="1:38" s="11" customFormat="1" x14ac:dyDescent="0.25">
      <c r="A6422" s="3"/>
      <c r="F6422" s="19"/>
      <c r="G6422" s="19"/>
      <c r="N6422" s="19"/>
      <c r="P6422" s="19"/>
      <c r="AL6422" s="19"/>
    </row>
    <row r="6423" spans="1:38" s="11" customFormat="1" x14ac:dyDescent="0.25">
      <c r="A6423" s="3"/>
      <c r="F6423" s="19"/>
      <c r="G6423" s="19"/>
      <c r="N6423" s="19"/>
      <c r="P6423" s="19"/>
      <c r="AL6423" s="19"/>
    </row>
    <row r="6424" spans="1:38" s="11" customFormat="1" x14ac:dyDescent="0.25">
      <c r="A6424" s="3"/>
      <c r="F6424" s="19"/>
      <c r="G6424" s="19"/>
      <c r="N6424" s="19"/>
      <c r="P6424" s="19"/>
      <c r="AL6424" s="19"/>
    </row>
    <row r="6425" spans="1:38" s="11" customFormat="1" x14ac:dyDescent="0.25">
      <c r="A6425" s="3"/>
      <c r="F6425" s="19"/>
      <c r="G6425" s="19"/>
      <c r="N6425" s="19"/>
      <c r="P6425" s="19"/>
      <c r="AL6425" s="19"/>
    </row>
    <row r="6426" spans="1:38" s="11" customFormat="1" x14ac:dyDescent="0.25">
      <c r="A6426" s="3"/>
      <c r="F6426" s="19"/>
      <c r="G6426" s="19"/>
      <c r="N6426" s="19"/>
      <c r="P6426" s="19"/>
      <c r="AL6426" s="19"/>
    </row>
    <row r="6427" spans="1:38" s="11" customFormat="1" x14ac:dyDescent="0.25">
      <c r="A6427" s="3"/>
      <c r="F6427" s="19"/>
      <c r="G6427" s="19"/>
      <c r="N6427" s="19"/>
      <c r="P6427" s="19"/>
      <c r="AL6427" s="19"/>
    </row>
    <row r="6428" spans="1:38" s="11" customFormat="1" x14ac:dyDescent="0.25">
      <c r="A6428" s="3"/>
      <c r="F6428" s="19"/>
      <c r="G6428" s="19"/>
      <c r="N6428" s="19"/>
      <c r="P6428" s="19"/>
      <c r="AL6428" s="19"/>
    </row>
    <row r="6429" spans="1:38" s="11" customFormat="1" x14ac:dyDescent="0.25">
      <c r="A6429" s="3"/>
      <c r="F6429" s="19"/>
      <c r="G6429" s="19"/>
      <c r="N6429" s="19"/>
      <c r="P6429" s="19"/>
      <c r="AL6429" s="19"/>
    </row>
    <row r="6430" spans="1:38" s="11" customFormat="1" x14ac:dyDescent="0.25">
      <c r="A6430" s="3"/>
      <c r="F6430" s="19"/>
      <c r="G6430" s="19"/>
      <c r="N6430" s="19"/>
      <c r="P6430" s="19"/>
      <c r="AL6430" s="19"/>
    </row>
    <row r="6431" spans="1:38" s="11" customFormat="1" x14ac:dyDescent="0.25">
      <c r="A6431" s="3"/>
      <c r="F6431" s="19"/>
      <c r="G6431" s="19"/>
      <c r="N6431" s="19"/>
      <c r="P6431" s="19"/>
      <c r="AL6431" s="19"/>
    </row>
    <row r="6432" spans="1:38" s="11" customFormat="1" x14ac:dyDescent="0.25">
      <c r="A6432" s="3"/>
      <c r="F6432" s="19"/>
      <c r="G6432" s="19"/>
      <c r="N6432" s="19"/>
      <c r="P6432" s="19"/>
      <c r="AL6432" s="19"/>
    </row>
    <row r="6433" spans="1:38" s="11" customFormat="1" x14ac:dyDescent="0.25">
      <c r="A6433" s="3"/>
      <c r="F6433" s="19"/>
      <c r="G6433" s="19"/>
      <c r="N6433" s="19"/>
      <c r="P6433" s="19"/>
      <c r="AL6433" s="19"/>
    </row>
    <row r="6434" spans="1:38" s="11" customFormat="1" x14ac:dyDescent="0.25">
      <c r="A6434" s="3"/>
      <c r="F6434" s="19"/>
      <c r="G6434" s="19"/>
      <c r="N6434" s="19"/>
      <c r="P6434" s="19"/>
      <c r="AL6434" s="19"/>
    </row>
    <row r="6435" spans="1:38" s="11" customFormat="1" x14ac:dyDescent="0.25">
      <c r="A6435" s="3"/>
      <c r="F6435" s="19"/>
      <c r="G6435" s="19"/>
      <c r="N6435" s="19"/>
      <c r="P6435" s="19"/>
      <c r="AL6435" s="19"/>
    </row>
    <row r="6436" spans="1:38" s="11" customFormat="1" x14ac:dyDescent="0.25">
      <c r="A6436" s="3"/>
      <c r="F6436" s="19"/>
      <c r="G6436" s="19"/>
      <c r="N6436" s="19"/>
      <c r="P6436" s="19"/>
      <c r="AL6436" s="19"/>
    </row>
    <row r="6437" spans="1:38" s="11" customFormat="1" x14ac:dyDescent="0.25">
      <c r="A6437" s="3"/>
      <c r="F6437" s="19"/>
      <c r="G6437" s="19"/>
      <c r="N6437" s="19"/>
      <c r="P6437" s="19"/>
      <c r="AL6437" s="19"/>
    </row>
    <row r="6438" spans="1:38" s="11" customFormat="1" x14ac:dyDescent="0.25">
      <c r="A6438" s="3"/>
      <c r="F6438" s="19"/>
      <c r="G6438" s="19"/>
      <c r="N6438" s="19"/>
      <c r="P6438" s="19"/>
      <c r="AL6438" s="19"/>
    </row>
    <row r="6439" spans="1:38" s="11" customFormat="1" x14ac:dyDescent="0.25">
      <c r="A6439" s="3"/>
      <c r="F6439" s="19"/>
      <c r="G6439" s="19"/>
      <c r="N6439" s="19"/>
      <c r="P6439" s="19"/>
      <c r="AL6439" s="19"/>
    </row>
    <row r="6440" spans="1:38" s="11" customFormat="1" x14ac:dyDescent="0.25">
      <c r="A6440" s="3"/>
      <c r="F6440" s="19"/>
      <c r="G6440" s="19"/>
      <c r="N6440" s="19"/>
      <c r="P6440" s="19"/>
      <c r="AL6440" s="19"/>
    </row>
    <row r="6441" spans="1:38" s="11" customFormat="1" x14ac:dyDescent="0.25">
      <c r="A6441" s="3"/>
      <c r="F6441" s="19"/>
      <c r="G6441" s="19"/>
      <c r="N6441" s="19"/>
      <c r="P6441" s="19"/>
      <c r="AL6441" s="19"/>
    </row>
    <row r="6442" spans="1:38" s="11" customFormat="1" x14ac:dyDescent="0.25">
      <c r="A6442" s="3"/>
      <c r="F6442" s="19"/>
      <c r="G6442" s="19"/>
      <c r="N6442" s="19"/>
      <c r="P6442" s="19"/>
      <c r="AL6442" s="19"/>
    </row>
    <row r="6443" spans="1:38" s="11" customFormat="1" x14ac:dyDescent="0.25">
      <c r="A6443" s="3"/>
      <c r="F6443" s="19"/>
      <c r="G6443" s="19"/>
      <c r="N6443" s="19"/>
      <c r="P6443" s="19"/>
      <c r="AL6443" s="19"/>
    </row>
    <row r="6444" spans="1:38" s="11" customFormat="1" x14ac:dyDescent="0.25">
      <c r="A6444" s="3"/>
      <c r="F6444" s="19"/>
      <c r="G6444" s="19"/>
      <c r="N6444" s="19"/>
      <c r="P6444" s="19"/>
      <c r="AL6444" s="19"/>
    </row>
    <row r="6445" spans="1:38" s="11" customFormat="1" x14ac:dyDescent="0.25">
      <c r="A6445" s="3"/>
      <c r="F6445" s="19"/>
      <c r="G6445" s="19"/>
      <c r="N6445" s="19"/>
      <c r="P6445" s="19"/>
      <c r="AL6445" s="19"/>
    </row>
    <row r="6446" spans="1:38" s="11" customFormat="1" x14ac:dyDescent="0.25">
      <c r="A6446" s="3"/>
      <c r="F6446" s="19"/>
      <c r="G6446" s="19"/>
      <c r="N6446" s="19"/>
      <c r="P6446" s="19"/>
      <c r="AL6446" s="19"/>
    </row>
    <row r="6447" spans="1:38" s="11" customFormat="1" x14ac:dyDescent="0.25">
      <c r="A6447" s="3"/>
      <c r="F6447" s="19"/>
      <c r="G6447" s="19"/>
      <c r="N6447" s="19"/>
      <c r="P6447" s="19"/>
      <c r="AL6447" s="19"/>
    </row>
    <row r="6448" spans="1:38" s="11" customFormat="1" x14ac:dyDescent="0.25">
      <c r="A6448" s="3"/>
      <c r="F6448" s="19"/>
      <c r="G6448" s="19"/>
      <c r="N6448" s="19"/>
      <c r="P6448" s="19"/>
      <c r="AL6448" s="19"/>
    </row>
    <row r="6449" spans="1:38" s="11" customFormat="1" x14ac:dyDescent="0.25">
      <c r="A6449" s="3"/>
      <c r="F6449" s="19"/>
      <c r="G6449" s="19"/>
      <c r="N6449" s="19"/>
      <c r="P6449" s="19"/>
      <c r="AL6449" s="19"/>
    </row>
    <row r="6450" spans="1:38" s="11" customFormat="1" x14ac:dyDescent="0.25">
      <c r="A6450" s="3"/>
      <c r="F6450" s="19"/>
      <c r="G6450" s="19"/>
      <c r="N6450" s="19"/>
      <c r="P6450" s="19"/>
      <c r="AL6450" s="19"/>
    </row>
    <row r="6451" spans="1:38" s="11" customFormat="1" x14ac:dyDescent="0.25">
      <c r="A6451" s="3"/>
      <c r="F6451" s="19"/>
      <c r="G6451" s="19"/>
      <c r="N6451" s="19"/>
      <c r="P6451" s="19"/>
      <c r="AL6451" s="19"/>
    </row>
    <row r="6452" spans="1:38" s="11" customFormat="1" x14ac:dyDescent="0.25">
      <c r="A6452" s="3"/>
      <c r="F6452" s="19"/>
      <c r="G6452" s="19"/>
      <c r="N6452" s="19"/>
      <c r="P6452" s="19"/>
      <c r="AL6452" s="19"/>
    </row>
    <row r="6453" spans="1:38" s="11" customFormat="1" x14ac:dyDescent="0.25">
      <c r="A6453" s="3"/>
      <c r="F6453" s="19"/>
      <c r="G6453" s="19"/>
      <c r="N6453" s="19"/>
      <c r="P6453" s="19"/>
      <c r="AL6453" s="19"/>
    </row>
    <row r="6454" spans="1:38" s="11" customFormat="1" x14ac:dyDescent="0.25">
      <c r="A6454" s="3"/>
      <c r="F6454" s="19"/>
      <c r="G6454" s="19"/>
      <c r="N6454" s="19"/>
      <c r="P6454" s="19"/>
      <c r="AL6454" s="19"/>
    </row>
    <row r="6455" spans="1:38" s="11" customFormat="1" x14ac:dyDescent="0.25">
      <c r="A6455" s="3"/>
      <c r="F6455" s="19"/>
      <c r="G6455" s="19"/>
      <c r="N6455" s="19"/>
      <c r="P6455" s="19"/>
      <c r="AL6455" s="19"/>
    </row>
    <row r="6456" spans="1:38" s="11" customFormat="1" x14ac:dyDescent="0.25">
      <c r="A6456" s="3"/>
      <c r="F6456" s="19"/>
      <c r="G6456" s="19"/>
      <c r="N6456" s="19"/>
      <c r="P6456" s="19"/>
      <c r="AL6456" s="19"/>
    </row>
    <row r="6457" spans="1:38" s="11" customFormat="1" x14ac:dyDescent="0.25">
      <c r="A6457" s="3"/>
      <c r="F6457" s="19"/>
      <c r="G6457" s="19"/>
      <c r="N6457" s="19"/>
      <c r="P6457" s="19"/>
      <c r="AL6457" s="19"/>
    </row>
    <row r="6458" spans="1:38" s="11" customFormat="1" x14ac:dyDescent="0.25">
      <c r="A6458" s="3"/>
      <c r="F6458" s="19"/>
      <c r="G6458" s="19"/>
      <c r="N6458" s="19"/>
      <c r="P6458" s="19"/>
      <c r="AL6458" s="19"/>
    </row>
    <row r="6459" spans="1:38" s="11" customFormat="1" x14ac:dyDescent="0.25">
      <c r="A6459" s="3"/>
      <c r="F6459" s="19"/>
      <c r="G6459" s="19"/>
      <c r="N6459" s="19"/>
      <c r="P6459" s="19"/>
      <c r="AL6459" s="19"/>
    </row>
    <row r="6460" spans="1:38" s="11" customFormat="1" x14ac:dyDescent="0.25">
      <c r="A6460" s="3"/>
      <c r="F6460" s="19"/>
      <c r="G6460" s="19"/>
      <c r="N6460" s="19"/>
      <c r="P6460" s="19"/>
      <c r="AL6460" s="19"/>
    </row>
    <row r="6461" spans="1:38" s="11" customFormat="1" x14ac:dyDescent="0.25">
      <c r="A6461" s="3"/>
      <c r="F6461" s="19"/>
      <c r="G6461" s="19"/>
      <c r="N6461" s="19"/>
      <c r="P6461" s="19"/>
      <c r="AL6461" s="19"/>
    </row>
    <row r="6462" spans="1:38" s="11" customFormat="1" x14ac:dyDescent="0.25">
      <c r="A6462" s="3"/>
      <c r="F6462" s="19"/>
      <c r="G6462" s="19"/>
      <c r="N6462" s="19"/>
      <c r="P6462" s="19"/>
      <c r="AL6462" s="19"/>
    </row>
    <row r="6463" spans="1:38" s="11" customFormat="1" x14ac:dyDescent="0.25">
      <c r="A6463" s="3"/>
      <c r="F6463" s="19"/>
      <c r="G6463" s="19"/>
      <c r="N6463" s="19"/>
      <c r="P6463" s="19"/>
      <c r="AL6463" s="19"/>
    </row>
    <row r="6464" spans="1:38" s="11" customFormat="1" x14ac:dyDescent="0.25">
      <c r="A6464" s="3"/>
      <c r="F6464" s="19"/>
      <c r="G6464" s="19"/>
      <c r="N6464" s="19"/>
      <c r="P6464" s="19"/>
      <c r="AL6464" s="19"/>
    </row>
    <row r="6465" spans="1:38" s="11" customFormat="1" x14ac:dyDescent="0.25">
      <c r="A6465" s="3"/>
      <c r="F6465" s="19"/>
      <c r="G6465" s="19"/>
      <c r="N6465" s="19"/>
      <c r="P6465" s="19"/>
      <c r="AL6465" s="19"/>
    </row>
    <row r="6466" spans="1:38" s="11" customFormat="1" x14ac:dyDescent="0.25">
      <c r="A6466" s="3"/>
      <c r="F6466" s="19"/>
      <c r="G6466" s="19"/>
      <c r="N6466" s="19"/>
      <c r="P6466" s="19"/>
      <c r="AL6466" s="19"/>
    </row>
    <row r="6467" spans="1:38" s="11" customFormat="1" x14ac:dyDescent="0.25">
      <c r="A6467" s="3"/>
      <c r="F6467" s="19"/>
      <c r="G6467" s="19"/>
      <c r="N6467" s="19"/>
      <c r="P6467" s="19"/>
      <c r="AL6467" s="19"/>
    </row>
    <row r="6468" spans="1:38" s="11" customFormat="1" x14ac:dyDescent="0.25">
      <c r="A6468" s="3"/>
      <c r="F6468" s="19"/>
      <c r="G6468" s="19"/>
      <c r="N6468" s="19"/>
      <c r="P6468" s="19"/>
      <c r="AL6468" s="19"/>
    </row>
    <row r="6469" spans="1:38" s="11" customFormat="1" x14ac:dyDescent="0.25">
      <c r="A6469" s="3"/>
      <c r="F6469" s="19"/>
      <c r="G6469" s="19"/>
      <c r="N6469" s="19"/>
      <c r="P6469" s="19"/>
      <c r="AL6469" s="19"/>
    </row>
    <row r="6470" spans="1:38" s="11" customFormat="1" x14ac:dyDescent="0.25">
      <c r="A6470" s="3"/>
      <c r="F6470" s="19"/>
      <c r="G6470" s="19"/>
      <c r="N6470" s="19"/>
      <c r="P6470" s="19"/>
      <c r="AL6470" s="19"/>
    </row>
    <row r="6471" spans="1:38" s="11" customFormat="1" x14ac:dyDescent="0.25">
      <c r="A6471" s="3"/>
      <c r="F6471" s="19"/>
      <c r="G6471" s="19"/>
      <c r="N6471" s="19"/>
      <c r="P6471" s="19"/>
      <c r="AL6471" s="19"/>
    </row>
    <row r="6472" spans="1:38" s="11" customFormat="1" x14ac:dyDescent="0.25">
      <c r="A6472" s="3"/>
      <c r="F6472" s="19"/>
      <c r="G6472" s="19"/>
      <c r="N6472" s="19"/>
      <c r="P6472" s="19"/>
      <c r="AL6472" s="19"/>
    </row>
    <row r="6473" spans="1:38" s="11" customFormat="1" x14ac:dyDescent="0.25">
      <c r="A6473" s="3"/>
      <c r="F6473" s="19"/>
      <c r="G6473" s="19"/>
      <c r="N6473" s="19"/>
      <c r="P6473" s="19"/>
      <c r="AL6473" s="19"/>
    </row>
    <row r="6474" spans="1:38" s="11" customFormat="1" x14ac:dyDescent="0.25">
      <c r="A6474" s="3"/>
      <c r="F6474" s="19"/>
      <c r="G6474" s="19"/>
      <c r="N6474" s="19"/>
      <c r="P6474" s="19"/>
      <c r="AL6474" s="19"/>
    </row>
    <row r="6475" spans="1:38" s="11" customFormat="1" x14ac:dyDescent="0.25">
      <c r="A6475" s="3"/>
      <c r="F6475" s="19"/>
      <c r="G6475" s="19"/>
      <c r="N6475" s="19"/>
      <c r="P6475" s="19"/>
      <c r="AL6475" s="19"/>
    </row>
    <row r="6476" spans="1:38" s="11" customFormat="1" x14ac:dyDescent="0.25">
      <c r="A6476" s="3"/>
      <c r="F6476" s="19"/>
      <c r="G6476" s="19"/>
      <c r="N6476" s="19"/>
      <c r="P6476" s="19"/>
      <c r="AL6476" s="19"/>
    </row>
    <row r="6477" spans="1:38" s="11" customFormat="1" x14ac:dyDescent="0.25">
      <c r="A6477" s="3"/>
      <c r="F6477" s="19"/>
      <c r="G6477" s="19"/>
      <c r="N6477" s="19"/>
      <c r="P6477" s="19"/>
      <c r="AL6477" s="19"/>
    </row>
    <row r="6478" spans="1:38" s="11" customFormat="1" x14ac:dyDescent="0.25">
      <c r="A6478" s="3"/>
      <c r="F6478" s="19"/>
      <c r="G6478" s="19"/>
      <c r="N6478" s="19"/>
      <c r="P6478" s="19"/>
      <c r="AL6478" s="19"/>
    </row>
    <row r="6479" spans="1:38" s="11" customFormat="1" x14ac:dyDescent="0.25">
      <c r="A6479" s="3"/>
      <c r="F6479" s="19"/>
      <c r="G6479" s="19"/>
      <c r="N6479" s="19"/>
      <c r="P6479" s="19"/>
      <c r="AL6479" s="19"/>
    </row>
    <row r="6480" spans="1:38" s="11" customFormat="1" x14ac:dyDescent="0.25">
      <c r="A6480" s="3"/>
      <c r="F6480" s="19"/>
      <c r="G6480" s="19"/>
      <c r="N6480" s="19"/>
      <c r="P6480" s="19"/>
      <c r="AL6480" s="19"/>
    </row>
    <row r="6481" spans="1:38" s="11" customFormat="1" x14ac:dyDescent="0.25">
      <c r="A6481" s="3"/>
      <c r="F6481" s="19"/>
      <c r="G6481" s="19"/>
      <c r="N6481" s="19"/>
      <c r="P6481" s="19"/>
      <c r="AL6481" s="19"/>
    </row>
    <row r="6482" spans="1:38" s="11" customFormat="1" x14ac:dyDescent="0.25">
      <c r="A6482" s="3"/>
      <c r="F6482" s="19"/>
      <c r="G6482" s="19"/>
      <c r="N6482" s="19"/>
      <c r="P6482" s="19"/>
      <c r="AL6482" s="19"/>
    </row>
    <row r="6483" spans="1:38" s="11" customFormat="1" x14ac:dyDescent="0.25">
      <c r="A6483" s="3"/>
      <c r="F6483" s="19"/>
      <c r="G6483" s="19"/>
      <c r="N6483" s="19"/>
      <c r="P6483" s="19"/>
      <c r="AL6483" s="19"/>
    </row>
    <row r="6484" spans="1:38" s="11" customFormat="1" x14ac:dyDescent="0.25">
      <c r="A6484" s="3"/>
      <c r="F6484" s="19"/>
      <c r="G6484" s="19"/>
      <c r="N6484" s="19"/>
      <c r="P6484" s="19"/>
      <c r="AL6484" s="19"/>
    </row>
    <row r="6485" spans="1:38" s="11" customFormat="1" x14ac:dyDescent="0.25">
      <c r="A6485" s="3"/>
      <c r="F6485" s="19"/>
      <c r="G6485" s="19"/>
      <c r="N6485" s="19"/>
      <c r="P6485" s="19"/>
      <c r="AL6485" s="19"/>
    </row>
    <row r="6486" spans="1:38" s="11" customFormat="1" x14ac:dyDescent="0.25">
      <c r="A6486" s="3"/>
      <c r="F6486" s="19"/>
      <c r="G6486" s="19"/>
      <c r="N6486" s="19"/>
      <c r="P6486" s="19"/>
      <c r="AL6486" s="19"/>
    </row>
    <row r="6487" spans="1:38" s="11" customFormat="1" x14ac:dyDescent="0.25">
      <c r="A6487" s="3"/>
      <c r="F6487" s="19"/>
      <c r="G6487" s="19"/>
      <c r="N6487" s="19"/>
      <c r="P6487" s="19"/>
      <c r="AL6487" s="19"/>
    </row>
    <row r="6488" spans="1:38" s="11" customFormat="1" x14ac:dyDescent="0.25">
      <c r="A6488" s="3"/>
      <c r="F6488" s="19"/>
      <c r="G6488" s="19"/>
      <c r="N6488" s="19"/>
      <c r="P6488" s="19"/>
      <c r="AL6488" s="19"/>
    </row>
    <row r="6489" spans="1:38" s="11" customFormat="1" x14ac:dyDescent="0.25">
      <c r="A6489" s="3"/>
      <c r="F6489" s="19"/>
      <c r="G6489" s="19"/>
      <c r="N6489" s="19"/>
      <c r="P6489" s="19"/>
      <c r="AL6489" s="19"/>
    </row>
    <row r="6490" spans="1:38" s="11" customFormat="1" x14ac:dyDescent="0.25">
      <c r="A6490" s="3"/>
      <c r="F6490" s="19"/>
      <c r="G6490" s="19"/>
      <c r="N6490" s="19"/>
      <c r="P6490" s="19"/>
      <c r="AL6490" s="19"/>
    </row>
    <row r="6491" spans="1:38" s="11" customFormat="1" x14ac:dyDescent="0.25">
      <c r="A6491" s="3"/>
      <c r="F6491" s="19"/>
      <c r="G6491" s="19"/>
      <c r="N6491" s="19"/>
      <c r="P6491" s="19"/>
      <c r="AL6491" s="19"/>
    </row>
    <row r="6492" spans="1:38" s="11" customFormat="1" x14ac:dyDescent="0.25">
      <c r="A6492" s="3"/>
      <c r="F6492" s="19"/>
      <c r="G6492" s="19"/>
      <c r="N6492" s="19"/>
      <c r="P6492" s="19"/>
      <c r="AL6492" s="19"/>
    </row>
    <row r="6493" spans="1:38" s="11" customFormat="1" x14ac:dyDescent="0.25">
      <c r="A6493" s="3"/>
      <c r="F6493" s="19"/>
      <c r="G6493" s="19"/>
      <c r="N6493" s="19"/>
      <c r="P6493" s="19"/>
      <c r="AL6493" s="19"/>
    </row>
    <row r="6494" spans="1:38" s="11" customFormat="1" x14ac:dyDescent="0.25">
      <c r="A6494" s="3"/>
      <c r="F6494" s="19"/>
      <c r="G6494" s="19"/>
      <c r="N6494" s="19"/>
      <c r="P6494" s="19"/>
      <c r="AL6494" s="19"/>
    </row>
    <row r="6495" spans="1:38" s="11" customFormat="1" x14ac:dyDescent="0.25">
      <c r="A6495" s="3"/>
      <c r="F6495" s="19"/>
      <c r="G6495" s="19"/>
      <c r="N6495" s="19"/>
      <c r="P6495" s="19"/>
      <c r="AL6495" s="19"/>
    </row>
    <row r="6496" spans="1:38" s="11" customFormat="1" x14ac:dyDescent="0.25">
      <c r="A6496" s="3"/>
      <c r="F6496" s="19"/>
      <c r="G6496" s="19"/>
      <c r="N6496" s="19"/>
      <c r="P6496" s="19"/>
      <c r="AL6496" s="19"/>
    </row>
    <row r="6497" spans="1:38" s="11" customFormat="1" x14ac:dyDescent="0.25">
      <c r="A6497" s="3"/>
      <c r="F6497" s="19"/>
      <c r="G6497" s="19"/>
      <c r="N6497" s="19"/>
      <c r="P6497" s="19"/>
      <c r="AL6497" s="19"/>
    </row>
    <row r="6498" spans="1:38" s="11" customFormat="1" x14ac:dyDescent="0.25">
      <c r="A6498" s="3"/>
      <c r="F6498" s="19"/>
      <c r="G6498" s="19"/>
      <c r="N6498" s="19"/>
      <c r="P6498" s="19"/>
      <c r="AL6498" s="19"/>
    </row>
    <row r="6499" spans="1:38" s="11" customFormat="1" x14ac:dyDescent="0.25">
      <c r="A6499" s="3"/>
      <c r="F6499" s="19"/>
      <c r="G6499" s="19"/>
      <c r="N6499" s="19"/>
      <c r="P6499" s="19"/>
      <c r="AL6499" s="19"/>
    </row>
    <row r="6500" spans="1:38" s="11" customFormat="1" x14ac:dyDescent="0.25">
      <c r="A6500" s="3"/>
      <c r="F6500" s="19"/>
      <c r="G6500" s="19"/>
      <c r="N6500" s="19"/>
      <c r="P6500" s="19"/>
      <c r="AL6500" s="19"/>
    </row>
    <row r="6501" spans="1:38" s="11" customFormat="1" x14ac:dyDescent="0.25">
      <c r="A6501" s="3"/>
      <c r="F6501" s="19"/>
      <c r="G6501" s="19"/>
      <c r="N6501" s="19"/>
      <c r="P6501" s="19"/>
      <c r="AL6501" s="19"/>
    </row>
    <row r="6502" spans="1:38" s="11" customFormat="1" x14ac:dyDescent="0.25">
      <c r="A6502" s="3"/>
      <c r="F6502" s="19"/>
      <c r="G6502" s="19"/>
      <c r="N6502" s="19"/>
      <c r="P6502" s="19"/>
      <c r="AL6502" s="19"/>
    </row>
    <row r="6503" spans="1:38" s="11" customFormat="1" x14ac:dyDescent="0.25">
      <c r="A6503" s="3"/>
      <c r="F6503" s="19"/>
      <c r="G6503" s="19"/>
      <c r="N6503" s="19"/>
      <c r="P6503" s="19"/>
      <c r="AL6503" s="19"/>
    </row>
    <row r="6504" spans="1:38" s="11" customFormat="1" x14ac:dyDescent="0.25">
      <c r="A6504" s="3"/>
      <c r="F6504" s="19"/>
      <c r="G6504" s="19"/>
      <c r="N6504" s="19"/>
      <c r="P6504" s="19"/>
      <c r="AL6504" s="19"/>
    </row>
    <row r="6505" spans="1:38" s="11" customFormat="1" x14ac:dyDescent="0.25">
      <c r="A6505" s="3"/>
      <c r="F6505" s="19"/>
      <c r="G6505" s="19"/>
      <c r="N6505" s="19"/>
      <c r="P6505" s="19"/>
      <c r="AL6505" s="19"/>
    </row>
    <row r="6506" spans="1:38" s="11" customFormat="1" x14ac:dyDescent="0.25">
      <c r="A6506" s="3"/>
      <c r="F6506" s="19"/>
      <c r="G6506" s="19"/>
      <c r="N6506" s="19"/>
      <c r="P6506" s="19"/>
      <c r="AL6506" s="19"/>
    </row>
    <row r="6507" spans="1:38" s="11" customFormat="1" x14ac:dyDescent="0.25">
      <c r="A6507" s="3"/>
      <c r="F6507" s="19"/>
      <c r="G6507" s="19"/>
      <c r="N6507" s="19"/>
      <c r="P6507" s="19"/>
      <c r="AL6507" s="19"/>
    </row>
    <row r="6508" spans="1:38" s="11" customFormat="1" x14ac:dyDescent="0.25">
      <c r="A6508" s="3"/>
      <c r="F6508" s="19"/>
      <c r="G6508" s="19"/>
      <c r="N6508" s="19"/>
      <c r="P6508" s="19"/>
      <c r="AL6508" s="19"/>
    </row>
    <row r="6509" spans="1:38" s="11" customFormat="1" x14ac:dyDescent="0.25">
      <c r="A6509" s="3"/>
      <c r="F6509" s="19"/>
      <c r="G6509" s="19"/>
      <c r="N6509" s="19"/>
      <c r="P6509" s="19"/>
      <c r="AL6509" s="19"/>
    </row>
    <row r="6510" spans="1:38" s="11" customFormat="1" x14ac:dyDescent="0.25">
      <c r="A6510" s="3"/>
      <c r="F6510" s="19"/>
      <c r="G6510" s="19"/>
      <c r="N6510" s="19"/>
      <c r="P6510" s="19"/>
      <c r="AL6510" s="19"/>
    </row>
    <row r="6511" spans="1:38" s="11" customFormat="1" x14ac:dyDescent="0.25">
      <c r="A6511" s="3"/>
      <c r="F6511" s="19"/>
      <c r="G6511" s="19"/>
      <c r="N6511" s="19"/>
      <c r="P6511" s="19"/>
      <c r="AL6511" s="19"/>
    </row>
    <row r="6512" spans="1:38" s="11" customFormat="1" x14ac:dyDescent="0.25">
      <c r="A6512" s="3"/>
      <c r="F6512" s="19"/>
      <c r="G6512" s="19"/>
      <c r="N6512" s="19"/>
      <c r="P6512" s="19"/>
      <c r="AL6512" s="19"/>
    </row>
    <row r="6513" spans="1:38" s="11" customFormat="1" x14ac:dyDescent="0.25">
      <c r="A6513" s="3"/>
      <c r="F6513" s="19"/>
      <c r="G6513" s="19"/>
      <c r="N6513" s="19"/>
      <c r="P6513" s="19"/>
      <c r="AL6513" s="19"/>
    </row>
    <row r="6514" spans="1:38" s="11" customFormat="1" x14ac:dyDescent="0.25">
      <c r="A6514" s="3"/>
      <c r="F6514" s="19"/>
      <c r="G6514" s="19"/>
      <c r="N6514" s="19"/>
      <c r="P6514" s="19"/>
      <c r="AL6514" s="19"/>
    </row>
    <row r="6515" spans="1:38" s="11" customFormat="1" x14ac:dyDescent="0.25">
      <c r="A6515" s="3"/>
      <c r="F6515" s="19"/>
      <c r="G6515" s="19"/>
      <c r="N6515" s="19"/>
      <c r="P6515" s="19"/>
      <c r="AL6515" s="19"/>
    </row>
    <row r="6516" spans="1:38" s="11" customFormat="1" x14ac:dyDescent="0.25">
      <c r="A6516" s="3"/>
      <c r="F6516" s="19"/>
      <c r="G6516" s="19"/>
      <c r="N6516" s="19"/>
      <c r="P6516" s="19"/>
      <c r="AL6516" s="19"/>
    </row>
    <row r="6517" spans="1:38" s="11" customFormat="1" x14ac:dyDescent="0.25">
      <c r="A6517" s="3"/>
      <c r="F6517" s="19"/>
      <c r="G6517" s="19"/>
      <c r="N6517" s="19"/>
      <c r="P6517" s="19"/>
      <c r="AL6517" s="19"/>
    </row>
    <row r="6518" spans="1:38" s="11" customFormat="1" x14ac:dyDescent="0.25">
      <c r="A6518" s="3"/>
      <c r="F6518" s="19"/>
      <c r="G6518" s="19"/>
      <c r="N6518" s="19"/>
      <c r="P6518" s="19"/>
      <c r="AL6518" s="19"/>
    </row>
    <row r="6519" spans="1:38" s="11" customFormat="1" x14ac:dyDescent="0.25">
      <c r="A6519" s="3"/>
      <c r="F6519" s="19"/>
      <c r="G6519" s="19"/>
      <c r="N6519" s="19"/>
      <c r="P6519" s="19"/>
      <c r="AL6519" s="19"/>
    </row>
    <row r="6520" spans="1:38" s="11" customFormat="1" x14ac:dyDescent="0.25">
      <c r="A6520" s="3"/>
      <c r="F6520" s="19"/>
      <c r="G6520" s="19"/>
      <c r="N6520" s="19"/>
      <c r="P6520" s="19"/>
      <c r="AL6520" s="19"/>
    </row>
    <row r="6521" spans="1:38" s="11" customFormat="1" x14ac:dyDescent="0.25">
      <c r="A6521" s="3"/>
      <c r="F6521" s="19"/>
      <c r="G6521" s="19"/>
      <c r="N6521" s="19"/>
      <c r="P6521" s="19"/>
      <c r="AL6521" s="19"/>
    </row>
    <row r="6522" spans="1:38" s="11" customFormat="1" x14ac:dyDescent="0.25">
      <c r="A6522" s="3"/>
      <c r="F6522" s="19"/>
      <c r="G6522" s="19"/>
      <c r="N6522" s="19"/>
      <c r="P6522" s="19"/>
      <c r="AL6522" s="19"/>
    </row>
    <row r="6523" spans="1:38" s="11" customFormat="1" x14ac:dyDescent="0.25">
      <c r="A6523" s="3"/>
      <c r="F6523" s="19"/>
      <c r="G6523" s="19"/>
      <c r="N6523" s="19"/>
      <c r="P6523" s="19"/>
      <c r="AL6523" s="19"/>
    </row>
    <row r="6524" spans="1:38" s="11" customFormat="1" x14ac:dyDescent="0.25">
      <c r="A6524" s="3"/>
      <c r="F6524" s="19"/>
      <c r="G6524" s="19"/>
      <c r="N6524" s="19"/>
      <c r="P6524" s="19"/>
      <c r="AL6524" s="19"/>
    </row>
    <row r="6525" spans="1:38" s="11" customFormat="1" x14ac:dyDescent="0.25">
      <c r="A6525" s="3"/>
      <c r="F6525" s="19"/>
      <c r="G6525" s="19"/>
      <c r="N6525" s="19"/>
      <c r="P6525" s="19"/>
      <c r="AL6525" s="19"/>
    </row>
    <row r="6526" spans="1:38" s="11" customFormat="1" x14ac:dyDescent="0.25">
      <c r="A6526" s="3"/>
      <c r="F6526" s="19"/>
      <c r="G6526" s="19"/>
      <c r="N6526" s="19"/>
      <c r="P6526" s="19"/>
      <c r="AL6526" s="19"/>
    </row>
    <row r="6527" spans="1:38" s="11" customFormat="1" x14ac:dyDescent="0.25">
      <c r="A6527" s="3"/>
      <c r="F6527" s="19"/>
      <c r="G6527" s="19"/>
      <c r="N6527" s="19"/>
      <c r="P6527" s="19"/>
      <c r="AL6527" s="19"/>
    </row>
    <row r="6528" spans="1:38" s="11" customFormat="1" x14ac:dyDescent="0.25">
      <c r="A6528" s="3"/>
      <c r="F6528" s="19"/>
      <c r="G6528" s="19"/>
      <c r="N6528" s="19"/>
      <c r="P6528" s="19"/>
      <c r="AL6528" s="19"/>
    </row>
    <row r="6529" spans="1:38" s="11" customFormat="1" x14ac:dyDescent="0.25">
      <c r="A6529" s="3"/>
      <c r="F6529" s="19"/>
      <c r="G6529" s="19"/>
      <c r="N6529" s="19"/>
      <c r="P6529" s="19"/>
      <c r="AL6529" s="19"/>
    </row>
    <row r="6530" spans="1:38" s="11" customFormat="1" x14ac:dyDescent="0.25">
      <c r="A6530" s="3"/>
      <c r="F6530" s="19"/>
      <c r="G6530" s="19"/>
      <c r="N6530" s="19"/>
      <c r="P6530" s="19"/>
      <c r="AL6530" s="19"/>
    </row>
    <row r="6531" spans="1:38" s="11" customFormat="1" x14ac:dyDescent="0.25">
      <c r="A6531" s="3"/>
      <c r="F6531" s="19"/>
      <c r="G6531" s="19"/>
      <c r="N6531" s="19"/>
      <c r="P6531" s="19"/>
      <c r="AL6531" s="19"/>
    </row>
    <row r="6532" spans="1:38" s="11" customFormat="1" x14ac:dyDescent="0.25">
      <c r="A6532" s="3"/>
      <c r="F6532" s="19"/>
      <c r="G6532" s="19"/>
      <c r="N6532" s="19"/>
      <c r="P6532" s="19"/>
      <c r="AL6532" s="19"/>
    </row>
    <row r="6533" spans="1:38" s="11" customFormat="1" x14ac:dyDescent="0.25">
      <c r="A6533" s="3"/>
      <c r="F6533" s="19"/>
      <c r="G6533" s="19"/>
      <c r="N6533" s="19"/>
      <c r="P6533" s="19"/>
      <c r="AL6533" s="19"/>
    </row>
    <row r="6534" spans="1:38" s="11" customFormat="1" x14ac:dyDescent="0.25">
      <c r="A6534" s="3"/>
      <c r="F6534" s="19"/>
      <c r="G6534" s="19"/>
      <c r="N6534" s="19"/>
      <c r="P6534" s="19"/>
      <c r="AL6534" s="19"/>
    </row>
    <row r="6535" spans="1:38" s="11" customFormat="1" x14ac:dyDescent="0.25">
      <c r="A6535" s="3"/>
      <c r="F6535" s="19"/>
      <c r="G6535" s="19"/>
      <c r="N6535" s="19"/>
      <c r="P6535" s="19"/>
      <c r="AL6535" s="19"/>
    </row>
    <row r="6536" spans="1:38" s="11" customFormat="1" x14ac:dyDescent="0.25">
      <c r="A6536" s="3"/>
      <c r="F6536" s="19"/>
      <c r="G6536" s="19"/>
      <c r="N6536" s="19"/>
      <c r="P6536" s="19"/>
      <c r="AL6536" s="19"/>
    </row>
    <row r="6537" spans="1:38" s="11" customFormat="1" x14ac:dyDescent="0.25">
      <c r="A6537" s="3"/>
      <c r="F6537" s="19"/>
      <c r="G6537" s="19"/>
      <c r="N6537" s="19"/>
      <c r="P6537" s="19"/>
      <c r="AL6537" s="19"/>
    </row>
    <row r="6538" spans="1:38" s="11" customFormat="1" x14ac:dyDescent="0.25">
      <c r="A6538" s="3"/>
      <c r="F6538" s="19"/>
      <c r="G6538" s="19"/>
      <c r="N6538" s="19"/>
      <c r="P6538" s="19"/>
      <c r="AL6538" s="19"/>
    </row>
    <row r="6539" spans="1:38" s="11" customFormat="1" x14ac:dyDescent="0.25">
      <c r="A6539" s="3"/>
      <c r="F6539" s="19"/>
      <c r="G6539" s="19"/>
      <c r="N6539" s="19"/>
      <c r="P6539" s="19"/>
      <c r="AL6539" s="19"/>
    </row>
    <row r="6540" spans="1:38" s="11" customFormat="1" x14ac:dyDescent="0.25">
      <c r="A6540" s="3"/>
      <c r="F6540" s="19"/>
      <c r="G6540" s="19"/>
      <c r="N6540" s="19"/>
      <c r="P6540" s="19"/>
      <c r="AL6540" s="19"/>
    </row>
    <row r="6541" spans="1:38" s="11" customFormat="1" x14ac:dyDescent="0.25">
      <c r="A6541" s="3"/>
      <c r="F6541" s="19"/>
      <c r="G6541" s="19"/>
      <c r="N6541" s="19"/>
      <c r="P6541" s="19"/>
      <c r="AL6541" s="19"/>
    </row>
    <row r="6542" spans="1:38" s="11" customFormat="1" x14ac:dyDescent="0.25">
      <c r="A6542" s="3"/>
      <c r="F6542" s="19"/>
      <c r="G6542" s="19"/>
      <c r="N6542" s="19"/>
      <c r="P6542" s="19"/>
      <c r="AL6542" s="19"/>
    </row>
    <row r="6543" spans="1:38" s="11" customFormat="1" x14ac:dyDescent="0.25">
      <c r="A6543" s="3"/>
      <c r="F6543" s="19"/>
      <c r="G6543" s="19"/>
      <c r="N6543" s="19"/>
      <c r="P6543" s="19"/>
      <c r="AL6543" s="19"/>
    </row>
    <row r="6544" spans="1:38" s="11" customFormat="1" x14ac:dyDescent="0.25">
      <c r="A6544" s="3"/>
      <c r="F6544" s="19"/>
      <c r="G6544" s="19"/>
      <c r="N6544" s="19"/>
      <c r="P6544" s="19"/>
      <c r="AL6544" s="19"/>
    </row>
    <row r="6545" spans="1:38" s="11" customFormat="1" x14ac:dyDescent="0.25">
      <c r="A6545" s="3"/>
      <c r="F6545" s="19"/>
      <c r="G6545" s="19"/>
      <c r="N6545" s="19"/>
      <c r="P6545" s="19"/>
      <c r="AL6545" s="19"/>
    </row>
    <row r="6546" spans="1:38" s="11" customFormat="1" x14ac:dyDescent="0.25">
      <c r="A6546" s="3"/>
      <c r="F6546" s="19"/>
      <c r="G6546" s="19"/>
      <c r="N6546" s="19"/>
      <c r="P6546" s="19"/>
      <c r="AL6546" s="19"/>
    </row>
    <row r="6547" spans="1:38" s="11" customFormat="1" x14ac:dyDescent="0.25">
      <c r="A6547" s="3"/>
      <c r="F6547" s="19"/>
      <c r="G6547" s="19"/>
      <c r="N6547" s="19"/>
      <c r="P6547" s="19"/>
      <c r="AL6547" s="19"/>
    </row>
    <row r="6548" spans="1:38" s="11" customFormat="1" x14ac:dyDescent="0.25">
      <c r="A6548" s="3"/>
      <c r="F6548" s="19"/>
      <c r="G6548" s="19"/>
      <c r="N6548" s="19"/>
      <c r="P6548" s="19"/>
      <c r="AL6548" s="19"/>
    </row>
    <row r="6549" spans="1:38" s="11" customFormat="1" x14ac:dyDescent="0.25">
      <c r="A6549" s="3"/>
      <c r="F6549" s="19"/>
      <c r="G6549" s="19"/>
      <c r="N6549" s="19"/>
      <c r="P6549" s="19"/>
      <c r="AL6549" s="19"/>
    </row>
    <row r="6550" spans="1:38" s="11" customFormat="1" x14ac:dyDescent="0.25">
      <c r="A6550" s="3"/>
      <c r="F6550" s="19"/>
      <c r="G6550" s="19"/>
      <c r="N6550" s="19"/>
      <c r="P6550" s="19"/>
      <c r="AL6550" s="19"/>
    </row>
    <row r="6551" spans="1:38" s="11" customFormat="1" x14ac:dyDescent="0.25">
      <c r="A6551" s="3"/>
      <c r="F6551" s="19"/>
      <c r="G6551" s="19"/>
      <c r="N6551" s="19"/>
      <c r="P6551" s="19"/>
      <c r="AL6551" s="19"/>
    </row>
    <row r="6552" spans="1:38" s="11" customFormat="1" x14ac:dyDescent="0.25">
      <c r="A6552" s="3"/>
      <c r="F6552" s="19"/>
      <c r="G6552" s="19"/>
      <c r="N6552" s="19"/>
      <c r="P6552" s="19"/>
      <c r="AL6552" s="19"/>
    </row>
    <row r="6553" spans="1:38" s="11" customFormat="1" x14ac:dyDescent="0.25">
      <c r="A6553" s="3"/>
      <c r="F6553" s="19"/>
      <c r="G6553" s="19"/>
      <c r="N6553" s="19"/>
      <c r="P6553" s="19"/>
      <c r="AL6553" s="19"/>
    </row>
    <row r="6554" spans="1:38" s="11" customFormat="1" x14ac:dyDescent="0.25">
      <c r="A6554" s="3"/>
      <c r="F6554" s="19"/>
      <c r="G6554" s="19"/>
      <c r="N6554" s="19"/>
      <c r="P6554" s="19"/>
      <c r="AL6554" s="19"/>
    </row>
    <row r="6555" spans="1:38" s="11" customFormat="1" x14ac:dyDescent="0.25">
      <c r="A6555" s="3"/>
      <c r="F6555" s="19"/>
      <c r="G6555" s="19"/>
      <c r="N6555" s="19"/>
      <c r="P6555" s="19"/>
      <c r="AL6555" s="19"/>
    </row>
    <row r="6556" spans="1:38" s="11" customFormat="1" x14ac:dyDescent="0.25">
      <c r="A6556" s="3"/>
      <c r="F6556" s="19"/>
      <c r="G6556" s="19"/>
      <c r="N6556" s="19"/>
      <c r="P6556" s="19"/>
      <c r="AL6556" s="19"/>
    </row>
    <row r="6557" spans="1:38" s="11" customFormat="1" x14ac:dyDescent="0.25">
      <c r="A6557" s="3"/>
      <c r="F6557" s="19"/>
      <c r="G6557" s="19"/>
      <c r="N6557" s="19"/>
      <c r="P6557" s="19"/>
      <c r="AL6557" s="19"/>
    </row>
    <row r="6558" spans="1:38" s="11" customFormat="1" x14ac:dyDescent="0.25">
      <c r="A6558" s="3"/>
      <c r="F6558" s="19"/>
      <c r="G6558" s="19"/>
      <c r="N6558" s="19"/>
      <c r="P6558" s="19"/>
      <c r="AL6558" s="19"/>
    </row>
    <row r="6559" spans="1:38" s="11" customFormat="1" x14ac:dyDescent="0.25">
      <c r="A6559" s="3"/>
      <c r="F6559" s="19"/>
      <c r="G6559" s="19"/>
      <c r="N6559" s="19"/>
      <c r="P6559" s="19"/>
      <c r="AL6559" s="19"/>
    </row>
    <row r="6560" spans="1:38" s="11" customFormat="1" x14ac:dyDescent="0.25">
      <c r="A6560" s="3"/>
      <c r="F6560" s="19"/>
      <c r="G6560" s="19"/>
      <c r="N6560" s="19"/>
      <c r="P6560" s="19"/>
      <c r="AL6560" s="19"/>
    </row>
    <row r="6561" spans="1:38" s="11" customFormat="1" x14ac:dyDescent="0.25">
      <c r="A6561" s="3"/>
      <c r="F6561" s="19"/>
      <c r="G6561" s="19"/>
      <c r="N6561" s="19"/>
      <c r="P6561" s="19"/>
      <c r="AL6561" s="19"/>
    </row>
    <row r="6562" spans="1:38" s="11" customFormat="1" x14ac:dyDescent="0.25">
      <c r="A6562" s="3"/>
      <c r="F6562" s="19"/>
      <c r="G6562" s="19"/>
      <c r="N6562" s="19"/>
      <c r="P6562" s="19"/>
      <c r="AL6562" s="19"/>
    </row>
    <row r="6563" spans="1:38" s="11" customFormat="1" x14ac:dyDescent="0.25">
      <c r="A6563" s="3"/>
      <c r="F6563" s="19"/>
      <c r="G6563" s="19"/>
      <c r="N6563" s="19"/>
      <c r="P6563" s="19"/>
      <c r="AL6563" s="19"/>
    </row>
    <row r="6564" spans="1:38" s="11" customFormat="1" x14ac:dyDescent="0.25">
      <c r="A6564" s="3"/>
      <c r="F6564" s="19"/>
      <c r="G6564" s="19"/>
      <c r="N6564" s="19"/>
      <c r="P6564" s="19"/>
      <c r="AL6564" s="19"/>
    </row>
    <row r="6565" spans="1:38" s="11" customFormat="1" x14ac:dyDescent="0.25">
      <c r="A6565" s="3"/>
      <c r="F6565" s="19"/>
      <c r="G6565" s="19"/>
      <c r="N6565" s="19"/>
      <c r="P6565" s="19"/>
      <c r="AL6565" s="19"/>
    </row>
    <row r="6566" spans="1:38" s="11" customFormat="1" x14ac:dyDescent="0.25">
      <c r="A6566" s="3"/>
      <c r="F6566" s="19"/>
      <c r="G6566" s="19"/>
      <c r="N6566" s="19"/>
      <c r="P6566" s="19"/>
      <c r="AL6566" s="19"/>
    </row>
    <row r="6567" spans="1:38" s="11" customFormat="1" x14ac:dyDescent="0.25">
      <c r="A6567" s="3"/>
      <c r="F6567" s="19"/>
      <c r="G6567" s="19"/>
      <c r="N6567" s="19"/>
      <c r="P6567" s="19"/>
      <c r="AL6567" s="19"/>
    </row>
    <row r="6568" spans="1:38" s="11" customFormat="1" x14ac:dyDescent="0.25">
      <c r="A6568" s="3"/>
      <c r="F6568" s="19"/>
      <c r="G6568" s="19"/>
      <c r="N6568" s="19"/>
      <c r="P6568" s="19"/>
      <c r="AL6568" s="19"/>
    </row>
    <row r="6569" spans="1:38" s="11" customFormat="1" x14ac:dyDescent="0.25">
      <c r="A6569" s="3"/>
      <c r="F6569" s="19"/>
      <c r="G6569" s="19"/>
      <c r="N6569" s="19"/>
      <c r="P6569" s="19"/>
      <c r="AL6569" s="19"/>
    </row>
    <row r="6570" spans="1:38" s="11" customFormat="1" x14ac:dyDescent="0.25">
      <c r="A6570" s="3"/>
      <c r="F6570" s="19"/>
      <c r="G6570" s="19"/>
      <c r="N6570" s="19"/>
      <c r="P6570" s="19"/>
      <c r="AL6570" s="19"/>
    </row>
    <row r="6571" spans="1:38" s="11" customFormat="1" x14ac:dyDescent="0.25">
      <c r="A6571" s="3"/>
      <c r="F6571" s="19"/>
      <c r="G6571" s="19"/>
      <c r="N6571" s="19"/>
      <c r="P6571" s="19"/>
      <c r="AL6571" s="19"/>
    </row>
    <row r="6572" spans="1:38" s="11" customFormat="1" x14ac:dyDescent="0.25">
      <c r="A6572" s="3"/>
      <c r="F6572" s="19"/>
      <c r="G6572" s="19"/>
      <c r="N6572" s="19"/>
      <c r="P6572" s="19"/>
      <c r="AL6572" s="19"/>
    </row>
    <row r="6573" spans="1:38" s="11" customFormat="1" x14ac:dyDescent="0.25">
      <c r="A6573" s="3"/>
      <c r="F6573" s="19"/>
      <c r="G6573" s="19"/>
      <c r="N6573" s="19"/>
      <c r="P6573" s="19"/>
      <c r="AL6573" s="19"/>
    </row>
    <row r="6574" spans="1:38" s="11" customFormat="1" x14ac:dyDescent="0.25">
      <c r="A6574" s="3"/>
      <c r="F6574" s="19"/>
      <c r="G6574" s="19"/>
      <c r="N6574" s="19"/>
      <c r="P6574" s="19"/>
      <c r="AL6574" s="19"/>
    </row>
    <row r="6575" spans="1:38" s="11" customFormat="1" x14ac:dyDescent="0.25">
      <c r="A6575" s="3"/>
      <c r="F6575" s="19"/>
      <c r="G6575" s="19"/>
      <c r="N6575" s="19"/>
      <c r="P6575" s="19"/>
      <c r="AL6575" s="19"/>
    </row>
    <row r="6576" spans="1:38" s="11" customFormat="1" x14ac:dyDescent="0.25">
      <c r="A6576" s="3"/>
      <c r="F6576" s="19"/>
      <c r="G6576" s="19"/>
      <c r="N6576" s="19"/>
      <c r="P6576" s="19"/>
      <c r="AL6576" s="19"/>
    </row>
    <row r="6577" spans="1:38" s="11" customFormat="1" x14ac:dyDescent="0.25">
      <c r="A6577" s="3"/>
      <c r="F6577" s="19"/>
      <c r="G6577" s="19"/>
      <c r="N6577" s="19"/>
      <c r="P6577" s="19"/>
      <c r="AL6577" s="19"/>
    </row>
    <row r="6578" spans="1:38" s="11" customFormat="1" x14ac:dyDescent="0.25">
      <c r="A6578" s="3"/>
      <c r="F6578" s="19"/>
      <c r="G6578" s="19"/>
      <c r="N6578" s="19"/>
      <c r="P6578" s="19"/>
      <c r="AL6578" s="19"/>
    </row>
    <row r="6579" spans="1:38" s="11" customFormat="1" x14ac:dyDescent="0.25">
      <c r="A6579" s="3"/>
      <c r="F6579" s="19"/>
      <c r="G6579" s="19"/>
      <c r="N6579" s="19"/>
      <c r="P6579" s="19"/>
      <c r="AL6579" s="19"/>
    </row>
    <row r="6580" spans="1:38" s="11" customFormat="1" x14ac:dyDescent="0.25">
      <c r="A6580" s="3"/>
      <c r="F6580" s="19"/>
      <c r="G6580" s="19"/>
      <c r="N6580" s="19"/>
      <c r="P6580" s="19"/>
      <c r="AL6580" s="19"/>
    </row>
    <row r="6581" spans="1:38" s="11" customFormat="1" x14ac:dyDescent="0.25">
      <c r="A6581" s="3"/>
      <c r="F6581" s="19"/>
      <c r="G6581" s="19"/>
      <c r="N6581" s="19"/>
      <c r="P6581" s="19"/>
      <c r="AL6581" s="19"/>
    </row>
    <row r="6582" spans="1:38" s="11" customFormat="1" x14ac:dyDescent="0.25">
      <c r="A6582" s="3"/>
      <c r="F6582" s="19"/>
      <c r="G6582" s="19"/>
      <c r="N6582" s="19"/>
      <c r="P6582" s="19"/>
      <c r="AL6582" s="19"/>
    </row>
    <row r="6583" spans="1:38" s="11" customFormat="1" x14ac:dyDescent="0.25">
      <c r="A6583" s="3"/>
      <c r="F6583" s="19"/>
      <c r="G6583" s="19"/>
      <c r="N6583" s="19"/>
      <c r="P6583" s="19"/>
      <c r="AL6583" s="19"/>
    </row>
    <row r="6584" spans="1:38" s="11" customFormat="1" x14ac:dyDescent="0.25">
      <c r="A6584" s="3"/>
      <c r="F6584" s="19"/>
      <c r="G6584" s="19"/>
      <c r="N6584" s="19"/>
      <c r="P6584" s="19"/>
      <c r="AL6584" s="19"/>
    </row>
    <row r="6585" spans="1:38" s="11" customFormat="1" x14ac:dyDescent="0.25">
      <c r="A6585" s="3"/>
      <c r="F6585" s="19"/>
      <c r="G6585" s="19"/>
      <c r="N6585" s="19"/>
      <c r="P6585" s="19"/>
      <c r="AL6585" s="19"/>
    </row>
    <row r="6586" spans="1:38" s="11" customFormat="1" x14ac:dyDescent="0.25">
      <c r="A6586" s="3"/>
      <c r="F6586" s="19"/>
      <c r="G6586" s="19"/>
      <c r="N6586" s="19"/>
      <c r="P6586" s="19"/>
      <c r="AL6586" s="19"/>
    </row>
    <row r="6587" spans="1:38" s="11" customFormat="1" x14ac:dyDescent="0.25">
      <c r="A6587" s="3"/>
      <c r="F6587" s="19"/>
      <c r="G6587" s="19"/>
      <c r="N6587" s="19"/>
      <c r="P6587" s="19"/>
      <c r="AL6587" s="19"/>
    </row>
    <row r="6588" spans="1:38" s="11" customFormat="1" x14ac:dyDescent="0.25">
      <c r="A6588" s="3"/>
      <c r="F6588" s="19"/>
      <c r="G6588" s="19"/>
      <c r="N6588" s="19"/>
      <c r="P6588" s="19"/>
      <c r="AL6588" s="19"/>
    </row>
    <row r="6589" spans="1:38" s="11" customFormat="1" x14ac:dyDescent="0.25">
      <c r="A6589" s="3"/>
      <c r="F6589" s="19"/>
      <c r="G6589" s="19"/>
      <c r="N6589" s="19"/>
      <c r="P6589" s="19"/>
      <c r="AL6589" s="19"/>
    </row>
    <row r="6590" spans="1:38" s="11" customFormat="1" x14ac:dyDescent="0.25">
      <c r="A6590" s="3"/>
      <c r="F6590" s="19"/>
      <c r="G6590" s="19"/>
      <c r="N6590" s="19"/>
      <c r="P6590" s="19"/>
      <c r="AL6590" s="19"/>
    </row>
    <row r="6591" spans="1:38" s="11" customFormat="1" x14ac:dyDescent="0.25">
      <c r="A6591" s="3"/>
      <c r="F6591" s="19"/>
      <c r="G6591" s="19"/>
      <c r="N6591" s="19"/>
      <c r="P6591" s="19"/>
      <c r="AL6591" s="19"/>
    </row>
    <row r="6592" spans="1:38" s="11" customFormat="1" x14ac:dyDescent="0.25">
      <c r="A6592" s="3"/>
      <c r="F6592" s="19"/>
      <c r="G6592" s="19"/>
      <c r="N6592" s="19"/>
      <c r="P6592" s="19"/>
      <c r="AL6592" s="19"/>
    </row>
    <row r="6593" spans="1:38" s="11" customFormat="1" x14ac:dyDescent="0.25">
      <c r="A6593" s="3"/>
      <c r="F6593" s="19"/>
      <c r="G6593" s="19"/>
      <c r="N6593" s="19"/>
      <c r="P6593" s="19"/>
      <c r="AL6593" s="19"/>
    </row>
    <row r="6594" spans="1:38" s="11" customFormat="1" x14ac:dyDescent="0.25">
      <c r="A6594" s="3"/>
      <c r="F6594" s="19"/>
      <c r="G6594" s="19"/>
      <c r="N6594" s="19"/>
      <c r="P6594" s="19"/>
      <c r="AL6594" s="19"/>
    </row>
    <row r="6595" spans="1:38" s="11" customFormat="1" x14ac:dyDescent="0.25">
      <c r="A6595" s="3"/>
      <c r="F6595" s="19"/>
      <c r="G6595" s="19"/>
      <c r="N6595" s="19"/>
      <c r="P6595" s="19"/>
      <c r="AL6595" s="19"/>
    </row>
    <row r="6596" spans="1:38" s="11" customFormat="1" x14ac:dyDescent="0.25">
      <c r="A6596" s="3"/>
      <c r="F6596" s="19"/>
      <c r="G6596" s="19"/>
      <c r="N6596" s="19"/>
      <c r="P6596" s="19"/>
      <c r="AL6596" s="19"/>
    </row>
    <row r="6597" spans="1:38" s="11" customFormat="1" x14ac:dyDescent="0.25">
      <c r="A6597" s="3"/>
      <c r="F6597" s="19"/>
      <c r="G6597" s="19"/>
      <c r="N6597" s="19"/>
      <c r="P6597" s="19"/>
      <c r="AL6597" s="19"/>
    </row>
    <row r="6598" spans="1:38" s="11" customFormat="1" x14ac:dyDescent="0.25">
      <c r="A6598" s="3"/>
      <c r="F6598" s="19"/>
      <c r="G6598" s="19"/>
      <c r="N6598" s="19"/>
      <c r="P6598" s="19"/>
      <c r="AL6598" s="19"/>
    </row>
    <row r="6599" spans="1:38" s="11" customFormat="1" x14ac:dyDescent="0.25">
      <c r="A6599" s="3"/>
      <c r="F6599" s="19"/>
      <c r="G6599" s="19"/>
      <c r="N6599" s="19"/>
      <c r="P6599" s="19"/>
      <c r="AL6599" s="19"/>
    </row>
    <row r="6600" spans="1:38" s="11" customFormat="1" x14ac:dyDescent="0.25">
      <c r="A6600" s="3"/>
      <c r="F6600" s="19"/>
      <c r="G6600" s="19"/>
      <c r="N6600" s="19"/>
      <c r="P6600" s="19"/>
      <c r="AL6600" s="19"/>
    </row>
    <row r="6601" spans="1:38" s="11" customFormat="1" x14ac:dyDescent="0.25">
      <c r="A6601" s="3"/>
      <c r="F6601" s="19"/>
      <c r="G6601" s="19"/>
      <c r="N6601" s="19"/>
      <c r="P6601" s="19"/>
      <c r="AL6601" s="19"/>
    </row>
    <row r="6602" spans="1:38" s="11" customFormat="1" x14ac:dyDescent="0.25">
      <c r="A6602" s="3"/>
      <c r="F6602" s="19"/>
      <c r="G6602" s="19"/>
      <c r="N6602" s="19"/>
      <c r="P6602" s="19"/>
      <c r="AL6602" s="19"/>
    </row>
    <row r="6603" spans="1:38" s="11" customFormat="1" x14ac:dyDescent="0.25">
      <c r="A6603" s="3"/>
      <c r="F6603" s="19"/>
      <c r="G6603" s="19"/>
      <c r="N6603" s="19"/>
      <c r="P6603" s="19"/>
      <c r="AL6603" s="19"/>
    </row>
    <row r="6604" spans="1:38" s="11" customFormat="1" x14ac:dyDescent="0.25">
      <c r="A6604" s="3"/>
      <c r="F6604" s="19"/>
      <c r="G6604" s="19"/>
      <c r="N6604" s="19"/>
      <c r="P6604" s="19"/>
      <c r="AL6604" s="19"/>
    </row>
    <row r="6605" spans="1:38" s="11" customFormat="1" x14ac:dyDescent="0.25">
      <c r="A6605" s="3"/>
      <c r="F6605" s="19"/>
      <c r="G6605" s="19"/>
      <c r="N6605" s="19"/>
      <c r="P6605" s="19"/>
      <c r="AL6605" s="19"/>
    </row>
    <row r="6606" spans="1:38" s="11" customFormat="1" x14ac:dyDescent="0.25">
      <c r="A6606" s="3"/>
      <c r="F6606" s="19"/>
      <c r="G6606" s="19"/>
      <c r="N6606" s="19"/>
      <c r="P6606" s="19"/>
      <c r="AL6606" s="19"/>
    </row>
    <row r="6607" spans="1:38" s="11" customFormat="1" x14ac:dyDescent="0.25">
      <c r="A6607" s="3"/>
      <c r="F6607" s="19"/>
      <c r="G6607" s="19"/>
      <c r="N6607" s="19"/>
      <c r="P6607" s="19"/>
      <c r="AL6607" s="19"/>
    </row>
    <row r="6608" spans="1:38" s="11" customFormat="1" x14ac:dyDescent="0.25">
      <c r="A6608" s="3"/>
      <c r="F6608" s="19"/>
      <c r="G6608" s="19"/>
      <c r="N6608" s="19"/>
      <c r="P6608" s="19"/>
      <c r="AL6608" s="19"/>
    </row>
    <row r="6609" spans="1:38" s="11" customFormat="1" x14ac:dyDescent="0.25">
      <c r="A6609" s="3"/>
      <c r="F6609" s="19"/>
      <c r="G6609" s="19"/>
      <c r="N6609" s="19"/>
      <c r="P6609" s="19"/>
      <c r="AL6609" s="19"/>
    </row>
    <row r="6610" spans="1:38" s="11" customFormat="1" x14ac:dyDescent="0.25">
      <c r="A6610" s="3"/>
      <c r="F6610" s="19"/>
      <c r="G6610" s="19"/>
      <c r="N6610" s="19"/>
      <c r="P6610" s="19"/>
      <c r="AL6610" s="19"/>
    </row>
    <row r="6611" spans="1:38" s="11" customFormat="1" x14ac:dyDescent="0.25">
      <c r="A6611" s="3"/>
      <c r="F6611" s="19"/>
      <c r="G6611" s="19"/>
      <c r="N6611" s="19"/>
      <c r="P6611" s="19"/>
      <c r="AL6611" s="19"/>
    </row>
    <row r="6612" spans="1:38" s="11" customFormat="1" x14ac:dyDescent="0.25">
      <c r="A6612" s="3"/>
      <c r="F6612" s="19"/>
      <c r="G6612" s="19"/>
      <c r="N6612" s="19"/>
      <c r="P6612" s="19"/>
      <c r="AL6612" s="19"/>
    </row>
    <row r="6613" spans="1:38" s="11" customFormat="1" x14ac:dyDescent="0.25">
      <c r="A6613" s="3"/>
      <c r="F6613" s="19"/>
      <c r="G6613" s="19"/>
      <c r="N6613" s="19"/>
      <c r="P6613" s="19"/>
      <c r="AL6613" s="19"/>
    </row>
    <row r="6614" spans="1:38" s="11" customFormat="1" x14ac:dyDescent="0.25">
      <c r="A6614" s="3"/>
      <c r="F6614" s="19"/>
      <c r="G6614" s="19"/>
      <c r="N6614" s="19"/>
      <c r="P6614" s="19"/>
      <c r="AL6614" s="19"/>
    </row>
    <row r="6615" spans="1:38" s="11" customFormat="1" x14ac:dyDescent="0.25">
      <c r="A6615" s="3"/>
      <c r="F6615" s="19"/>
      <c r="G6615" s="19"/>
      <c r="N6615" s="19"/>
      <c r="P6615" s="19"/>
      <c r="AL6615" s="19"/>
    </row>
    <row r="6616" spans="1:38" s="11" customFormat="1" x14ac:dyDescent="0.25">
      <c r="A6616" s="3"/>
      <c r="F6616" s="19"/>
      <c r="G6616" s="19"/>
      <c r="N6616" s="19"/>
      <c r="P6616" s="19"/>
      <c r="AL6616" s="19"/>
    </row>
    <row r="6617" spans="1:38" s="11" customFormat="1" x14ac:dyDescent="0.25">
      <c r="A6617" s="3"/>
      <c r="F6617" s="19"/>
      <c r="G6617" s="19"/>
      <c r="N6617" s="19"/>
      <c r="P6617" s="19"/>
      <c r="AL6617" s="19"/>
    </row>
    <row r="6618" spans="1:38" s="11" customFormat="1" x14ac:dyDescent="0.25">
      <c r="A6618" s="3"/>
      <c r="F6618" s="19"/>
      <c r="G6618" s="19"/>
      <c r="N6618" s="19"/>
      <c r="P6618" s="19"/>
      <c r="AL6618" s="19"/>
    </row>
    <row r="6619" spans="1:38" s="11" customFormat="1" x14ac:dyDescent="0.25">
      <c r="A6619" s="3"/>
      <c r="F6619" s="19"/>
      <c r="G6619" s="19"/>
      <c r="N6619" s="19"/>
      <c r="P6619" s="19"/>
      <c r="AL6619" s="19"/>
    </row>
    <row r="6620" spans="1:38" s="11" customFormat="1" x14ac:dyDescent="0.25">
      <c r="A6620" s="3"/>
      <c r="F6620" s="19"/>
      <c r="G6620" s="19"/>
      <c r="N6620" s="19"/>
      <c r="P6620" s="19"/>
      <c r="AL6620" s="19"/>
    </row>
    <row r="6621" spans="1:38" s="11" customFormat="1" x14ac:dyDescent="0.25">
      <c r="A6621" s="3"/>
      <c r="F6621" s="19"/>
      <c r="G6621" s="19"/>
      <c r="N6621" s="19"/>
      <c r="P6621" s="19"/>
      <c r="AL6621" s="19"/>
    </row>
    <row r="6622" spans="1:38" s="11" customFormat="1" x14ac:dyDescent="0.25">
      <c r="A6622" s="3"/>
      <c r="F6622" s="19"/>
      <c r="G6622" s="19"/>
      <c r="N6622" s="19"/>
      <c r="P6622" s="19"/>
      <c r="AL6622" s="19"/>
    </row>
    <row r="6623" spans="1:38" s="11" customFormat="1" x14ac:dyDescent="0.25">
      <c r="A6623" s="3"/>
      <c r="F6623" s="19"/>
      <c r="G6623" s="19"/>
      <c r="N6623" s="19"/>
      <c r="P6623" s="19"/>
      <c r="AL6623" s="19"/>
    </row>
    <row r="6624" spans="1:38" s="11" customFormat="1" x14ac:dyDescent="0.25">
      <c r="A6624" s="3"/>
      <c r="F6624" s="19"/>
      <c r="G6624" s="19"/>
      <c r="N6624" s="19"/>
      <c r="P6624" s="19"/>
      <c r="AL6624" s="19"/>
    </row>
    <row r="6625" spans="1:38" s="11" customFormat="1" x14ac:dyDescent="0.25">
      <c r="A6625" s="3"/>
      <c r="F6625" s="19"/>
      <c r="G6625" s="19"/>
      <c r="N6625" s="19"/>
      <c r="P6625" s="19"/>
      <c r="AL6625" s="19"/>
    </row>
    <row r="6626" spans="1:38" s="11" customFormat="1" x14ac:dyDescent="0.25">
      <c r="A6626" s="3"/>
      <c r="F6626" s="19"/>
      <c r="G6626" s="19"/>
      <c r="N6626" s="19"/>
      <c r="P6626" s="19"/>
      <c r="AL6626" s="19"/>
    </row>
    <row r="6627" spans="1:38" s="11" customFormat="1" x14ac:dyDescent="0.25">
      <c r="A6627" s="3"/>
      <c r="F6627" s="19"/>
      <c r="G6627" s="19"/>
      <c r="N6627" s="19"/>
      <c r="P6627" s="19"/>
      <c r="AL6627" s="19"/>
    </row>
    <row r="6628" spans="1:38" s="11" customFormat="1" x14ac:dyDescent="0.25">
      <c r="A6628" s="3"/>
      <c r="F6628" s="19"/>
      <c r="G6628" s="19"/>
      <c r="N6628" s="19"/>
      <c r="P6628" s="19"/>
      <c r="AL6628" s="19"/>
    </row>
    <row r="6629" spans="1:38" s="11" customFormat="1" x14ac:dyDescent="0.25">
      <c r="A6629" s="3"/>
      <c r="F6629" s="19"/>
      <c r="G6629" s="19"/>
      <c r="N6629" s="19"/>
      <c r="P6629" s="19"/>
      <c r="AL6629" s="19"/>
    </row>
    <row r="6630" spans="1:38" s="11" customFormat="1" x14ac:dyDescent="0.25">
      <c r="A6630" s="3"/>
      <c r="F6630" s="19"/>
      <c r="G6630" s="19"/>
      <c r="N6630" s="19"/>
      <c r="P6630" s="19"/>
      <c r="AL6630" s="19"/>
    </row>
    <row r="6631" spans="1:38" s="11" customFormat="1" x14ac:dyDescent="0.25">
      <c r="A6631" s="3"/>
      <c r="F6631" s="19"/>
      <c r="G6631" s="19"/>
      <c r="N6631" s="19"/>
      <c r="P6631" s="19"/>
      <c r="AL6631" s="19"/>
    </row>
    <row r="6632" spans="1:38" s="11" customFormat="1" x14ac:dyDescent="0.25">
      <c r="A6632" s="3"/>
      <c r="F6632" s="19"/>
      <c r="G6632" s="19"/>
      <c r="N6632" s="19"/>
      <c r="P6632" s="19"/>
      <c r="AL6632" s="19"/>
    </row>
    <row r="6633" spans="1:38" s="11" customFormat="1" x14ac:dyDescent="0.25">
      <c r="A6633" s="3"/>
      <c r="F6633" s="19"/>
      <c r="G6633" s="19"/>
      <c r="N6633" s="19"/>
      <c r="P6633" s="19"/>
      <c r="AL6633" s="19"/>
    </row>
    <row r="6634" spans="1:38" s="11" customFormat="1" x14ac:dyDescent="0.25">
      <c r="A6634" s="3"/>
      <c r="F6634" s="19"/>
      <c r="G6634" s="19"/>
      <c r="N6634" s="19"/>
      <c r="P6634" s="19"/>
      <c r="AL6634" s="19"/>
    </row>
    <row r="6635" spans="1:38" s="11" customFormat="1" x14ac:dyDescent="0.25">
      <c r="A6635" s="3"/>
      <c r="F6635" s="19"/>
      <c r="G6635" s="19"/>
      <c r="N6635" s="19"/>
      <c r="P6635" s="19"/>
      <c r="AL6635" s="19"/>
    </row>
    <row r="6636" spans="1:38" s="11" customFormat="1" x14ac:dyDescent="0.25">
      <c r="A6636" s="3"/>
      <c r="F6636" s="19"/>
      <c r="G6636" s="19"/>
      <c r="N6636" s="19"/>
      <c r="P6636" s="19"/>
      <c r="AL6636" s="19"/>
    </row>
    <row r="6637" spans="1:38" s="11" customFormat="1" x14ac:dyDescent="0.25">
      <c r="A6637" s="3"/>
      <c r="F6637" s="19"/>
      <c r="G6637" s="19"/>
      <c r="N6637" s="19"/>
      <c r="P6637" s="19"/>
      <c r="AL6637" s="19"/>
    </row>
    <row r="6638" spans="1:38" s="11" customFormat="1" x14ac:dyDescent="0.25">
      <c r="A6638" s="3"/>
      <c r="F6638" s="19"/>
      <c r="G6638" s="19"/>
      <c r="N6638" s="19"/>
      <c r="P6638" s="19"/>
      <c r="AL6638" s="19"/>
    </row>
    <row r="6639" spans="1:38" s="11" customFormat="1" x14ac:dyDescent="0.25">
      <c r="A6639" s="3"/>
      <c r="F6639" s="19"/>
      <c r="G6639" s="19"/>
      <c r="N6639" s="19"/>
      <c r="P6639" s="19"/>
      <c r="AL6639" s="19"/>
    </row>
    <row r="6640" spans="1:38" s="11" customFormat="1" x14ac:dyDescent="0.25">
      <c r="A6640" s="3"/>
      <c r="F6640" s="19"/>
      <c r="G6640" s="19"/>
      <c r="N6640" s="19"/>
      <c r="P6640" s="19"/>
      <c r="AL6640" s="19"/>
    </row>
    <row r="6641" spans="1:38" s="11" customFormat="1" x14ac:dyDescent="0.25">
      <c r="A6641" s="3"/>
      <c r="F6641" s="19"/>
      <c r="G6641" s="19"/>
      <c r="N6641" s="19"/>
      <c r="P6641" s="19"/>
      <c r="AL6641" s="19"/>
    </row>
    <row r="6642" spans="1:38" s="11" customFormat="1" x14ac:dyDescent="0.25">
      <c r="A6642" s="3"/>
      <c r="F6642" s="19"/>
      <c r="G6642" s="19"/>
      <c r="N6642" s="19"/>
      <c r="P6642" s="19"/>
      <c r="AL6642" s="19"/>
    </row>
    <row r="6643" spans="1:38" s="11" customFormat="1" x14ac:dyDescent="0.25">
      <c r="A6643" s="3"/>
      <c r="F6643" s="19"/>
      <c r="G6643" s="19"/>
      <c r="N6643" s="19"/>
      <c r="P6643" s="19"/>
      <c r="AL6643" s="19"/>
    </row>
    <row r="6644" spans="1:38" s="11" customFormat="1" x14ac:dyDescent="0.25">
      <c r="A6644" s="3"/>
      <c r="F6644" s="19"/>
      <c r="G6644" s="19"/>
      <c r="N6644" s="19"/>
      <c r="P6644" s="19"/>
      <c r="AL6644" s="19"/>
    </row>
    <row r="6645" spans="1:38" s="11" customFormat="1" x14ac:dyDescent="0.25">
      <c r="A6645" s="3"/>
      <c r="F6645" s="19"/>
      <c r="G6645" s="19"/>
      <c r="N6645" s="19"/>
      <c r="P6645" s="19"/>
      <c r="AL6645" s="19"/>
    </row>
    <row r="6646" spans="1:38" s="11" customFormat="1" x14ac:dyDescent="0.25">
      <c r="A6646" s="3"/>
      <c r="F6646" s="19"/>
      <c r="G6646" s="19"/>
      <c r="N6646" s="19"/>
      <c r="P6646" s="19"/>
      <c r="AL6646" s="19"/>
    </row>
    <row r="6647" spans="1:38" s="11" customFormat="1" x14ac:dyDescent="0.25">
      <c r="A6647" s="3"/>
      <c r="F6647" s="19"/>
      <c r="G6647" s="19"/>
      <c r="N6647" s="19"/>
      <c r="P6647" s="19"/>
      <c r="AL6647" s="19"/>
    </row>
    <row r="6648" spans="1:38" s="11" customFormat="1" x14ac:dyDescent="0.25">
      <c r="A6648" s="3"/>
      <c r="F6648" s="19"/>
      <c r="G6648" s="19"/>
      <c r="N6648" s="19"/>
      <c r="P6648" s="19"/>
      <c r="AL6648" s="19"/>
    </row>
    <row r="6649" spans="1:38" s="11" customFormat="1" x14ac:dyDescent="0.25">
      <c r="A6649" s="3"/>
      <c r="F6649" s="19"/>
      <c r="G6649" s="19"/>
      <c r="N6649" s="19"/>
      <c r="P6649" s="19"/>
      <c r="AL6649" s="19"/>
    </row>
    <row r="6650" spans="1:38" s="11" customFormat="1" x14ac:dyDescent="0.25">
      <c r="A6650" s="3"/>
      <c r="F6650" s="19"/>
      <c r="G6650" s="19"/>
      <c r="N6650" s="19"/>
      <c r="P6650" s="19"/>
      <c r="AL6650" s="19"/>
    </row>
    <row r="6651" spans="1:38" s="11" customFormat="1" x14ac:dyDescent="0.25">
      <c r="A6651" s="3"/>
      <c r="F6651" s="19"/>
      <c r="G6651" s="19"/>
      <c r="N6651" s="19"/>
      <c r="P6651" s="19"/>
      <c r="AL6651" s="19"/>
    </row>
    <row r="6652" spans="1:38" s="11" customFormat="1" x14ac:dyDescent="0.25">
      <c r="A6652" s="3"/>
      <c r="F6652" s="19"/>
      <c r="G6652" s="19"/>
      <c r="N6652" s="19"/>
      <c r="P6652" s="19"/>
      <c r="AL6652" s="19"/>
    </row>
    <row r="6653" spans="1:38" s="11" customFormat="1" x14ac:dyDescent="0.25">
      <c r="A6653" s="3"/>
      <c r="F6653" s="19"/>
      <c r="G6653" s="19"/>
      <c r="N6653" s="19"/>
      <c r="P6653" s="19"/>
      <c r="AL6653" s="19"/>
    </row>
    <row r="6654" spans="1:38" s="11" customFormat="1" x14ac:dyDescent="0.25">
      <c r="A6654" s="3"/>
      <c r="F6654" s="19"/>
      <c r="G6654" s="19"/>
      <c r="N6654" s="19"/>
      <c r="P6654" s="19"/>
      <c r="AL6654" s="19"/>
    </row>
    <row r="6655" spans="1:38" s="11" customFormat="1" x14ac:dyDescent="0.25">
      <c r="A6655" s="3"/>
      <c r="F6655" s="19"/>
      <c r="G6655" s="19"/>
      <c r="N6655" s="19"/>
      <c r="P6655" s="19"/>
      <c r="AL6655" s="19"/>
    </row>
    <row r="6656" spans="1:38" s="11" customFormat="1" x14ac:dyDescent="0.25">
      <c r="A6656" s="3"/>
      <c r="F6656" s="19"/>
      <c r="G6656" s="19"/>
      <c r="N6656" s="19"/>
      <c r="P6656" s="19"/>
      <c r="AL6656" s="19"/>
    </row>
    <row r="6657" spans="1:38" s="11" customFormat="1" x14ac:dyDescent="0.25">
      <c r="A6657" s="3"/>
      <c r="F6657" s="19"/>
      <c r="G6657" s="19"/>
      <c r="N6657" s="19"/>
      <c r="P6657" s="19"/>
      <c r="AL6657" s="19"/>
    </row>
    <row r="6658" spans="1:38" s="11" customFormat="1" x14ac:dyDescent="0.25">
      <c r="A6658" s="3"/>
      <c r="F6658" s="19"/>
      <c r="G6658" s="19"/>
      <c r="N6658" s="19"/>
      <c r="P6658" s="19"/>
      <c r="AL6658" s="19"/>
    </row>
    <row r="6659" spans="1:38" s="11" customFormat="1" x14ac:dyDescent="0.25">
      <c r="A6659" s="3"/>
      <c r="F6659" s="19"/>
      <c r="G6659" s="19"/>
      <c r="N6659" s="19"/>
      <c r="P6659" s="19"/>
      <c r="AL6659" s="19"/>
    </row>
    <row r="6660" spans="1:38" s="11" customFormat="1" x14ac:dyDescent="0.25">
      <c r="A6660" s="3"/>
      <c r="F6660" s="19"/>
      <c r="G6660" s="19"/>
      <c r="N6660" s="19"/>
      <c r="P6660" s="19"/>
      <c r="AL6660" s="19"/>
    </row>
    <row r="6661" spans="1:38" s="11" customFormat="1" x14ac:dyDescent="0.25">
      <c r="A6661" s="3"/>
      <c r="F6661" s="19"/>
      <c r="G6661" s="19"/>
      <c r="N6661" s="19"/>
      <c r="P6661" s="19"/>
      <c r="AL6661" s="19"/>
    </row>
    <row r="6662" spans="1:38" s="11" customFormat="1" x14ac:dyDescent="0.25">
      <c r="A6662" s="3"/>
      <c r="F6662" s="19"/>
      <c r="G6662" s="19"/>
      <c r="N6662" s="19"/>
      <c r="P6662" s="19"/>
      <c r="AL6662" s="19"/>
    </row>
    <row r="6663" spans="1:38" s="11" customFormat="1" x14ac:dyDescent="0.25">
      <c r="A6663" s="3"/>
      <c r="F6663" s="19"/>
      <c r="G6663" s="19"/>
      <c r="N6663" s="19"/>
      <c r="P6663" s="19"/>
      <c r="AL6663" s="19"/>
    </row>
    <row r="6664" spans="1:38" s="11" customFormat="1" x14ac:dyDescent="0.25">
      <c r="A6664" s="3"/>
      <c r="F6664" s="19"/>
      <c r="G6664" s="19"/>
      <c r="N6664" s="19"/>
      <c r="P6664" s="19"/>
      <c r="AL6664" s="19"/>
    </row>
    <row r="6665" spans="1:38" s="11" customFormat="1" x14ac:dyDescent="0.25">
      <c r="A6665" s="3"/>
      <c r="F6665" s="19"/>
      <c r="G6665" s="19"/>
      <c r="N6665" s="19"/>
      <c r="P6665" s="19"/>
      <c r="AL6665" s="19"/>
    </row>
    <row r="6666" spans="1:38" s="11" customFormat="1" x14ac:dyDescent="0.25">
      <c r="A6666" s="3"/>
      <c r="F6666" s="19"/>
      <c r="G6666" s="19"/>
      <c r="N6666" s="19"/>
      <c r="P6666" s="19"/>
      <c r="AL6666" s="19"/>
    </row>
    <row r="6667" spans="1:38" s="11" customFormat="1" x14ac:dyDescent="0.25">
      <c r="A6667" s="3"/>
      <c r="F6667" s="19"/>
      <c r="G6667" s="19"/>
      <c r="N6667" s="19"/>
      <c r="P6667" s="19"/>
      <c r="AL6667" s="19"/>
    </row>
    <row r="6668" spans="1:38" s="11" customFormat="1" x14ac:dyDescent="0.25">
      <c r="A6668" s="3"/>
      <c r="F6668" s="19"/>
      <c r="G6668" s="19"/>
      <c r="N6668" s="19"/>
      <c r="P6668" s="19"/>
      <c r="AL6668" s="19"/>
    </row>
    <row r="6669" spans="1:38" s="11" customFormat="1" x14ac:dyDescent="0.25">
      <c r="A6669" s="3"/>
      <c r="F6669" s="19"/>
      <c r="G6669" s="19"/>
      <c r="N6669" s="19"/>
      <c r="P6669" s="19"/>
      <c r="AL6669" s="19"/>
    </row>
    <row r="6670" spans="1:38" s="11" customFormat="1" x14ac:dyDescent="0.25">
      <c r="A6670" s="3"/>
      <c r="F6670" s="19"/>
      <c r="G6670" s="19"/>
      <c r="N6670" s="19"/>
      <c r="P6670" s="19"/>
      <c r="AL6670" s="19"/>
    </row>
    <row r="6671" spans="1:38" s="11" customFormat="1" x14ac:dyDescent="0.25">
      <c r="A6671" s="3"/>
      <c r="F6671" s="19"/>
      <c r="G6671" s="19"/>
      <c r="N6671" s="19"/>
      <c r="P6671" s="19"/>
      <c r="AL6671" s="19"/>
    </row>
    <row r="6672" spans="1:38" s="11" customFormat="1" x14ac:dyDescent="0.25">
      <c r="A6672" s="3"/>
      <c r="F6672" s="19"/>
      <c r="G6672" s="19"/>
      <c r="N6672" s="19"/>
      <c r="P6672" s="19"/>
      <c r="AL6672" s="19"/>
    </row>
    <row r="6673" spans="1:38" s="11" customFormat="1" x14ac:dyDescent="0.25">
      <c r="A6673" s="3"/>
      <c r="F6673" s="19"/>
      <c r="G6673" s="19"/>
      <c r="N6673" s="19"/>
      <c r="P6673" s="19"/>
      <c r="AL6673" s="19"/>
    </row>
    <row r="6674" spans="1:38" s="11" customFormat="1" x14ac:dyDescent="0.25">
      <c r="A6674" s="3"/>
      <c r="F6674" s="19"/>
      <c r="G6674" s="19"/>
      <c r="N6674" s="19"/>
      <c r="P6674" s="19"/>
      <c r="AL6674" s="19"/>
    </row>
    <row r="6675" spans="1:38" s="11" customFormat="1" x14ac:dyDescent="0.25">
      <c r="A6675" s="3"/>
      <c r="F6675" s="19"/>
      <c r="G6675" s="19"/>
      <c r="N6675" s="19"/>
      <c r="P6675" s="19"/>
      <c r="AL6675" s="19"/>
    </row>
    <row r="6676" spans="1:38" s="11" customFormat="1" x14ac:dyDescent="0.25">
      <c r="A6676" s="3"/>
      <c r="F6676" s="19"/>
      <c r="G6676" s="19"/>
      <c r="N6676" s="19"/>
      <c r="P6676" s="19"/>
      <c r="AL6676" s="19"/>
    </row>
    <row r="6677" spans="1:38" s="11" customFormat="1" x14ac:dyDescent="0.25">
      <c r="A6677" s="3"/>
      <c r="F6677" s="19"/>
      <c r="G6677" s="19"/>
      <c r="N6677" s="19"/>
      <c r="P6677" s="19"/>
      <c r="AL6677" s="19"/>
    </row>
    <row r="6678" spans="1:38" s="11" customFormat="1" x14ac:dyDescent="0.25">
      <c r="A6678" s="3"/>
      <c r="F6678" s="19"/>
      <c r="G6678" s="19"/>
      <c r="N6678" s="19"/>
      <c r="P6678" s="19"/>
      <c r="AL6678" s="19"/>
    </row>
    <row r="6679" spans="1:38" s="11" customFormat="1" x14ac:dyDescent="0.25">
      <c r="A6679" s="3"/>
      <c r="F6679" s="19"/>
      <c r="G6679" s="19"/>
      <c r="N6679" s="19"/>
      <c r="P6679" s="19"/>
      <c r="AL6679" s="19"/>
    </row>
    <row r="6680" spans="1:38" s="11" customFormat="1" x14ac:dyDescent="0.25">
      <c r="A6680" s="3"/>
      <c r="F6680" s="19"/>
      <c r="G6680" s="19"/>
      <c r="N6680" s="19"/>
      <c r="P6680" s="19"/>
      <c r="AL6680" s="19"/>
    </row>
    <row r="6681" spans="1:38" s="11" customFormat="1" x14ac:dyDescent="0.25">
      <c r="A6681" s="3"/>
      <c r="F6681" s="19"/>
      <c r="G6681" s="19"/>
      <c r="N6681" s="19"/>
      <c r="P6681" s="19"/>
      <c r="AL6681" s="19"/>
    </row>
    <row r="6682" spans="1:38" s="11" customFormat="1" x14ac:dyDescent="0.25">
      <c r="A6682" s="3"/>
      <c r="F6682" s="19"/>
      <c r="G6682" s="19"/>
      <c r="N6682" s="19"/>
      <c r="P6682" s="19"/>
      <c r="AL6682" s="19"/>
    </row>
    <row r="6683" spans="1:38" s="11" customFormat="1" x14ac:dyDescent="0.25">
      <c r="A6683" s="3"/>
      <c r="F6683" s="19"/>
      <c r="G6683" s="19"/>
      <c r="N6683" s="19"/>
      <c r="P6683" s="19"/>
      <c r="AL6683" s="19"/>
    </row>
    <row r="6684" spans="1:38" s="11" customFormat="1" x14ac:dyDescent="0.25">
      <c r="A6684" s="3"/>
      <c r="F6684" s="19"/>
      <c r="G6684" s="19"/>
      <c r="N6684" s="19"/>
      <c r="P6684" s="19"/>
      <c r="AL6684" s="19"/>
    </row>
    <row r="6685" spans="1:38" s="11" customFormat="1" x14ac:dyDescent="0.25">
      <c r="A6685" s="3"/>
      <c r="F6685" s="19"/>
      <c r="G6685" s="19"/>
      <c r="N6685" s="19"/>
      <c r="P6685" s="19"/>
      <c r="AL6685" s="19"/>
    </row>
    <row r="6686" spans="1:38" s="11" customFormat="1" x14ac:dyDescent="0.25">
      <c r="A6686" s="3"/>
      <c r="F6686" s="19"/>
      <c r="G6686" s="19"/>
      <c r="N6686" s="19"/>
      <c r="P6686" s="19"/>
      <c r="AL6686" s="19"/>
    </row>
    <row r="6687" spans="1:38" s="11" customFormat="1" x14ac:dyDescent="0.25">
      <c r="A6687" s="3"/>
      <c r="F6687" s="19"/>
      <c r="G6687" s="19"/>
      <c r="N6687" s="19"/>
      <c r="P6687" s="19"/>
      <c r="AL6687" s="19"/>
    </row>
    <row r="6688" spans="1:38" s="11" customFormat="1" x14ac:dyDescent="0.25">
      <c r="A6688" s="3"/>
      <c r="F6688" s="19"/>
      <c r="G6688" s="19"/>
      <c r="N6688" s="19"/>
      <c r="P6688" s="19"/>
      <c r="AL6688" s="19"/>
    </row>
    <row r="6689" spans="1:38" s="11" customFormat="1" x14ac:dyDescent="0.25">
      <c r="A6689" s="3"/>
      <c r="F6689" s="19"/>
      <c r="G6689" s="19"/>
      <c r="N6689" s="19"/>
      <c r="P6689" s="19"/>
      <c r="AL6689" s="19"/>
    </row>
    <row r="6690" spans="1:38" s="11" customFormat="1" x14ac:dyDescent="0.25">
      <c r="A6690" s="3"/>
      <c r="F6690" s="19"/>
      <c r="G6690" s="19"/>
      <c r="N6690" s="19"/>
      <c r="P6690" s="19"/>
      <c r="AL6690" s="19"/>
    </row>
    <row r="6691" spans="1:38" s="11" customFormat="1" x14ac:dyDescent="0.25">
      <c r="A6691" s="3"/>
      <c r="F6691" s="19"/>
      <c r="G6691" s="19"/>
      <c r="N6691" s="19"/>
      <c r="P6691" s="19"/>
      <c r="AL6691" s="19"/>
    </row>
    <row r="6692" spans="1:38" s="11" customFormat="1" x14ac:dyDescent="0.25">
      <c r="A6692" s="3"/>
      <c r="F6692" s="19"/>
      <c r="G6692" s="19"/>
      <c r="N6692" s="19"/>
      <c r="P6692" s="19"/>
      <c r="AL6692" s="19"/>
    </row>
    <row r="6693" spans="1:38" s="11" customFormat="1" x14ac:dyDescent="0.25">
      <c r="A6693" s="3"/>
      <c r="F6693" s="19"/>
      <c r="G6693" s="19"/>
      <c r="N6693" s="19"/>
      <c r="P6693" s="19"/>
      <c r="AL6693" s="19"/>
    </row>
    <row r="6694" spans="1:38" s="11" customFormat="1" x14ac:dyDescent="0.25">
      <c r="A6694" s="3"/>
      <c r="F6694" s="19"/>
      <c r="G6694" s="19"/>
      <c r="N6694" s="19"/>
      <c r="P6694" s="19"/>
      <c r="AL6694" s="19"/>
    </row>
    <row r="6695" spans="1:38" s="11" customFormat="1" x14ac:dyDescent="0.25">
      <c r="A6695" s="3"/>
      <c r="F6695" s="19"/>
      <c r="G6695" s="19"/>
      <c r="N6695" s="19"/>
      <c r="P6695" s="19"/>
      <c r="AL6695" s="19"/>
    </row>
    <row r="6696" spans="1:38" s="11" customFormat="1" x14ac:dyDescent="0.25">
      <c r="A6696" s="3"/>
      <c r="F6696" s="19"/>
      <c r="G6696" s="19"/>
      <c r="N6696" s="19"/>
      <c r="P6696" s="19"/>
      <c r="AL6696" s="19"/>
    </row>
    <row r="6697" spans="1:38" s="11" customFormat="1" x14ac:dyDescent="0.25">
      <c r="A6697" s="3"/>
      <c r="F6697" s="19"/>
      <c r="G6697" s="19"/>
      <c r="N6697" s="19"/>
      <c r="P6697" s="19"/>
      <c r="AL6697" s="19"/>
    </row>
    <row r="6698" spans="1:38" s="11" customFormat="1" x14ac:dyDescent="0.25">
      <c r="A6698" s="3"/>
      <c r="F6698" s="19"/>
      <c r="G6698" s="19"/>
      <c r="N6698" s="19"/>
      <c r="P6698" s="19"/>
      <c r="AL6698" s="19"/>
    </row>
    <row r="6699" spans="1:38" s="11" customFormat="1" x14ac:dyDescent="0.25">
      <c r="A6699" s="3"/>
      <c r="F6699" s="19"/>
      <c r="G6699" s="19"/>
      <c r="N6699" s="19"/>
      <c r="P6699" s="19"/>
      <c r="AL6699" s="19"/>
    </row>
    <row r="6700" spans="1:38" s="11" customFormat="1" x14ac:dyDescent="0.25">
      <c r="A6700" s="3"/>
      <c r="F6700" s="19"/>
      <c r="G6700" s="19"/>
      <c r="N6700" s="19"/>
      <c r="P6700" s="19"/>
      <c r="AL6700" s="19"/>
    </row>
    <row r="6701" spans="1:38" s="11" customFormat="1" x14ac:dyDescent="0.25">
      <c r="A6701" s="3"/>
      <c r="F6701" s="19"/>
      <c r="G6701" s="19"/>
      <c r="N6701" s="19"/>
      <c r="P6701" s="19"/>
      <c r="AL6701" s="19"/>
    </row>
    <row r="6702" spans="1:38" s="11" customFormat="1" x14ac:dyDescent="0.25">
      <c r="A6702" s="3"/>
      <c r="F6702" s="19"/>
      <c r="G6702" s="19"/>
      <c r="N6702" s="19"/>
      <c r="P6702" s="19"/>
      <c r="AL6702" s="19"/>
    </row>
    <row r="6703" spans="1:38" s="11" customFormat="1" x14ac:dyDescent="0.25">
      <c r="A6703" s="3"/>
      <c r="F6703" s="19"/>
      <c r="G6703" s="19"/>
      <c r="N6703" s="19"/>
      <c r="P6703" s="19"/>
      <c r="AL6703" s="19"/>
    </row>
    <row r="6704" spans="1:38" s="11" customFormat="1" x14ac:dyDescent="0.25">
      <c r="A6704" s="3"/>
      <c r="F6704" s="19"/>
      <c r="G6704" s="19"/>
      <c r="N6704" s="19"/>
      <c r="P6704" s="19"/>
      <c r="AL6704" s="19"/>
    </row>
    <row r="6705" spans="1:38" s="11" customFormat="1" x14ac:dyDescent="0.25">
      <c r="A6705" s="3"/>
      <c r="F6705" s="19"/>
      <c r="G6705" s="19"/>
      <c r="N6705" s="19"/>
      <c r="P6705" s="19"/>
      <c r="AL6705" s="19"/>
    </row>
    <row r="6706" spans="1:38" s="11" customFormat="1" x14ac:dyDescent="0.25">
      <c r="A6706" s="3"/>
      <c r="F6706" s="19"/>
      <c r="G6706" s="19"/>
      <c r="N6706" s="19"/>
      <c r="P6706" s="19"/>
      <c r="AL6706" s="19"/>
    </row>
    <row r="6707" spans="1:38" s="11" customFormat="1" x14ac:dyDescent="0.25">
      <c r="A6707" s="3"/>
      <c r="F6707" s="19"/>
      <c r="G6707" s="19"/>
      <c r="N6707" s="19"/>
      <c r="P6707" s="19"/>
      <c r="AL6707" s="19"/>
    </row>
    <row r="6708" spans="1:38" s="11" customFormat="1" x14ac:dyDescent="0.25">
      <c r="A6708" s="3"/>
      <c r="F6708" s="19"/>
      <c r="G6708" s="19"/>
      <c r="N6708" s="19"/>
      <c r="P6708" s="19"/>
      <c r="AL6708" s="19"/>
    </row>
    <row r="6709" spans="1:38" s="11" customFormat="1" x14ac:dyDescent="0.25">
      <c r="A6709" s="3"/>
      <c r="F6709" s="19"/>
      <c r="G6709" s="19"/>
      <c r="N6709" s="19"/>
      <c r="P6709" s="19"/>
      <c r="AL6709" s="19"/>
    </row>
    <row r="6710" spans="1:38" s="11" customFormat="1" x14ac:dyDescent="0.25">
      <c r="A6710" s="3"/>
      <c r="F6710" s="19"/>
      <c r="G6710" s="19"/>
      <c r="N6710" s="19"/>
      <c r="P6710" s="19"/>
      <c r="AL6710" s="19"/>
    </row>
    <row r="6711" spans="1:38" s="11" customFormat="1" x14ac:dyDescent="0.25">
      <c r="A6711" s="3"/>
      <c r="F6711" s="19"/>
      <c r="G6711" s="19"/>
      <c r="N6711" s="19"/>
      <c r="P6711" s="19"/>
      <c r="AL6711" s="19"/>
    </row>
    <row r="6712" spans="1:38" s="11" customFormat="1" x14ac:dyDescent="0.25">
      <c r="A6712" s="3"/>
      <c r="F6712" s="19"/>
      <c r="G6712" s="19"/>
      <c r="N6712" s="19"/>
      <c r="P6712" s="19"/>
      <c r="AL6712" s="19"/>
    </row>
    <row r="6713" spans="1:38" s="11" customFormat="1" x14ac:dyDescent="0.25">
      <c r="A6713" s="3"/>
      <c r="F6713" s="19"/>
      <c r="G6713" s="19"/>
      <c r="N6713" s="19"/>
      <c r="P6713" s="19"/>
      <c r="AL6713" s="19"/>
    </row>
    <row r="6714" spans="1:38" s="11" customFormat="1" x14ac:dyDescent="0.25">
      <c r="A6714" s="3"/>
      <c r="F6714" s="19"/>
      <c r="G6714" s="19"/>
      <c r="N6714" s="19"/>
      <c r="P6714" s="19"/>
      <c r="AL6714" s="19"/>
    </row>
    <row r="6715" spans="1:38" s="11" customFormat="1" x14ac:dyDescent="0.25">
      <c r="A6715" s="3"/>
      <c r="F6715" s="19"/>
      <c r="G6715" s="19"/>
      <c r="N6715" s="19"/>
      <c r="P6715" s="19"/>
      <c r="AL6715" s="19"/>
    </row>
    <row r="6716" spans="1:38" s="11" customFormat="1" x14ac:dyDescent="0.25">
      <c r="A6716" s="3"/>
      <c r="F6716" s="19"/>
      <c r="G6716" s="19"/>
      <c r="N6716" s="19"/>
      <c r="P6716" s="19"/>
      <c r="AL6716" s="19"/>
    </row>
    <row r="6717" spans="1:38" s="11" customFormat="1" x14ac:dyDescent="0.25">
      <c r="A6717" s="3"/>
      <c r="F6717" s="19"/>
      <c r="G6717" s="19"/>
      <c r="N6717" s="19"/>
      <c r="P6717" s="19"/>
      <c r="AL6717" s="19"/>
    </row>
    <row r="6718" spans="1:38" s="11" customFormat="1" x14ac:dyDescent="0.25">
      <c r="A6718" s="3"/>
      <c r="F6718" s="19"/>
      <c r="G6718" s="19"/>
      <c r="N6718" s="19"/>
      <c r="P6718" s="19"/>
      <c r="AL6718" s="19"/>
    </row>
    <row r="6719" spans="1:38" s="11" customFormat="1" x14ac:dyDescent="0.25">
      <c r="A6719" s="3"/>
      <c r="F6719" s="19"/>
      <c r="G6719" s="19"/>
      <c r="N6719" s="19"/>
      <c r="P6719" s="19"/>
      <c r="AL6719" s="19"/>
    </row>
    <row r="6720" spans="1:38" s="11" customFormat="1" x14ac:dyDescent="0.25">
      <c r="A6720" s="3"/>
      <c r="F6720" s="19"/>
      <c r="G6720" s="19"/>
      <c r="N6720" s="19"/>
      <c r="P6720" s="19"/>
      <c r="AL6720" s="19"/>
    </row>
    <row r="6721" spans="1:38" s="11" customFormat="1" x14ac:dyDescent="0.25">
      <c r="A6721" s="3"/>
      <c r="F6721" s="19"/>
      <c r="G6721" s="19"/>
      <c r="N6721" s="19"/>
      <c r="P6721" s="19"/>
      <c r="AL6721" s="19"/>
    </row>
    <row r="6722" spans="1:38" s="11" customFormat="1" x14ac:dyDescent="0.25">
      <c r="A6722" s="3"/>
      <c r="F6722" s="19"/>
      <c r="G6722" s="19"/>
      <c r="N6722" s="19"/>
      <c r="P6722" s="19"/>
      <c r="AL6722" s="19"/>
    </row>
    <row r="6723" spans="1:38" s="11" customFormat="1" x14ac:dyDescent="0.25">
      <c r="A6723" s="3"/>
      <c r="F6723" s="19"/>
      <c r="G6723" s="19"/>
      <c r="N6723" s="19"/>
      <c r="P6723" s="19"/>
      <c r="AL6723" s="19"/>
    </row>
    <row r="6724" spans="1:38" s="11" customFormat="1" x14ac:dyDescent="0.25">
      <c r="A6724" s="3"/>
      <c r="F6724" s="19"/>
      <c r="G6724" s="19"/>
      <c r="N6724" s="19"/>
      <c r="P6724" s="19"/>
      <c r="AL6724" s="19"/>
    </row>
    <row r="6725" spans="1:38" s="11" customFormat="1" x14ac:dyDescent="0.25">
      <c r="A6725" s="3"/>
      <c r="F6725" s="19"/>
      <c r="G6725" s="19"/>
      <c r="N6725" s="19"/>
      <c r="P6725" s="19"/>
      <c r="AL6725" s="19"/>
    </row>
    <row r="6726" spans="1:38" s="11" customFormat="1" x14ac:dyDescent="0.25">
      <c r="A6726" s="3"/>
      <c r="F6726" s="19"/>
      <c r="G6726" s="19"/>
      <c r="N6726" s="19"/>
      <c r="P6726" s="19"/>
      <c r="AL6726" s="19"/>
    </row>
    <row r="6727" spans="1:38" s="11" customFormat="1" x14ac:dyDescent="0.25">
      <c r="A6727" s="3"/>
      <c r="F6727" s="19"/>
      <c r="G6727" s="19"/>
      <c r="N6727" s="19"/>
      <c r="P6727" s="19"/>
      <c r="AL6727" s="19"/>
    </row>
    <row r="6728" spans="1:38" s="11" customFormat="1" x14ac:dyDescent="0.25">
      <c r="A6728" s="3"/>
      <c r="F6728" s="19"/>
      <c r="G6728" s="19"/>
      <c r="N6728" s="19"/>
      <c r="P6728" s="19"/>
      <c r="AL6728" s="19"/>
    </row>
    <row r="6729" spans="1:38" s="11" customFormat="1" x14ac:dyDescent="0.25">
      <c r="A6729" s="3"/>
      <c r="F6729" s="19"/>
      <c r="G6729" s="19"/>
      <c r="N6729" s="19"/>
      <c r="P6729" s="19"/>
      <c r="AL6729" s="19"/>
    </row>
    <row r="6730" spans="1:38" s="11" customFormat="1" x14ac:dyDescent="0.25">
      <c r="A6730" s="3"/>
      <c r="F6730" s="19"/>
      <c r="G6730" s="19"/>
      <c r="N6730" s="19"/>
      <c r="P6730" s="19"/>
      <c r="AL6730" s="19"/>
    </row>
    <row r="6731" spans="1:38" s="11" customFormat="1" x14ac:dyDescent="0.25">
      <c r="A6731" s="3"/>
      <c r="F6731" s="19"/>
      <c r="G6731" s="19"/>
      <c r="N6731" s="19"/>
      <c r="P6731" s="19"/>
      <c r="AL6731" s="19"/>
    </row>
    <row r="6732" spans="1:38" s="11" customFormat="1" x14ac:dyDescent="0.25">
      <c r="A6732" s="3"/>
      <c r="F6732" s="19"/>
      <c r="G6732" s="19"/>
      <c r="N6732" s="19"/>
      <c r="P6732" s="19"/>
      <c r="AL6732" s="19"/>
    </row>
    <row r="6733" spans="1:38" s="11" customFormat="1" x14ac:dyDescent="0.25">
      <c r="A6733" s="3"/>
      <c r="F6733" s="19"/>
      <c r="G6733" s="19"/>
      <c r="N6733" s="19"/>
      <c r="P6733" s="19"/>
      <c r="AL6733" s="19"/>
    </row>
    <row r="6734" spans="1:38" s="11" customFormat="1" x14ac:dyDescent="0.25">
      <c r="A6734" s="3"/>
      <c r="F6734" s="19"/>
      <c r="G6734" s="19"/>
      <c r="N6734" s="19"/>
      <c r="P6734" s="19"/>
      <c r="AL6734" s="19"/>
    </row>
    <row r="6735" spans="1:38" s="11" customFormat="1" x14ac:dyDescent="0.25">
      <c r="A6735" s="3"/>
      <c r="F6735" s="19"/>
      <c r="G6735" s="19"/>
      <c r="N6735" s="19"/>
      <c r="P6735" s="19"/>
      <c r="AL6735" s="19"/>
    </row>
    <row r="6736" spans="1:38" s="11" customFormat="1" x14ac:dyDescent="0.25">
      <c r="A6736" s="3"/>
      <c r="F6736" s="19"/>
      <c r="G6736" s="19"/>
      <c r="N6736" s="19"/>
      <c r="P6736" s="19"/>
      <c r="AL6736" s="19"/>
    </row>
    <row r="6737" spans="1:38" s="11" customFormat="1" x14ac:dyDescent="0.25">
      <c r="A6737" s="3"/>
      <c r="F6737" s="19"/>
      <c r="G6737" s="19"/>
      <c r="N6737" s="19"/>
      <c r="P6737" s="19"/>
      <c r="AL6737" s="19"/>
    </row>
    <row r="6738" spans="1:38" s="11" customFormat="1" x14ac:dyDescent="0.25">
      <c r="A6738" s="3"/>
      <c r="F6738" s="19"/>
      <c r="G6738" s="19"/>
      <c r="N6738" s="19"/>
      <c r="P6738" s="19"/>
      <c r="AL6738" s="19"/>
    </row>
    <row r="6739" spans="1:38" s="11" customFormat="1" x14ac:dyDescent="0.25">
      <c r="A6739" s="3"/>
      <c r="F6739" s="19"/>
      <c r="G6739" s="19"/>
      <c r="N6739" s="19"/>
      <c r="P6739" s="19"/>
      <c r="AL6739" s="19"/>
    </row>
    <row r="6740" spans="1:38" s="11" customFormat="1" x14ac:dyDescent="0.25">
      <c r="A6740" s="3"/>
      <c r="F6740" s="19"/>
      <c r="G6740" s="19"/>
      <c r="N6740" s="19"/>
      <c r="P6740" s="19"/>
      <c r="AL6740" s="19"/>
    </row>
    <row r="6741" spans="1:38" s="11" customFormat="1" x14ac:dyDescent="0.25">
      <c r="A6741" s="3"/>
      <c r="F6741" s="19"/>
      <c r="G6741" s="19"/>
      <c r="N6741" s="19"/>
      <c r="P6741" s="19"/>
      <c r="AL6741" s="19"/>
    </row>
    <row r="6742" spans="1:38" s="11" customFormat="1" x14ac:dyDescent="0.25">
      <c r="A6742" s="3"/>
      <c r="F6742" s="19"/>
      <c r="G6742" s="19"/>
      <c r="N6742" s="19"/>
      <c r="P6742" s="19"/>
      <c r="AL6742" s="19"/>
    </row>
    <row r="6743" spans="1:38" s="11" customFormat="1" x14ac:dyDescent="0.25">
      <c r="A6743" s="3"/>
      <c r="F6743" s="19"/>
      <c r="G6743" s="19"/>
      <c r="N6743" s="19"/>
      <c r="P6743" s="19"/>
      <c r="AL6743" s="19"/>
    </row>
    <row r="6744" spans="1:38" s="11" customFormat="1" x14ac:dyDescent="0.25">
      <c r="A6744" s="3"/>
      <c r="F6744" s="19"/>
      <c r="G6744" s="19"/>
      <c r="N6744" s="19"/>
      <c r="P6744" s="19"/>
      <c r="AL6744" s="19"/>
    </row>
    <row r="6745" spans="1:38" s="11" customFormat="1" x14ac:dyDescent="0.25">
      <c r="A6745" s="3"/>
      <c r="F6745" s="19"/>
      <c r="G6745" s="19"/>
      <c r="N6745" s="19"/>
      <c r="P6745" s="19"/>
      <c r="AL6745" s="19"/>
    </row>
    <row r="6746" spans="1:38" s="11" customFormat="1" x14ac:dyDescent="0.25">
      <c r="A6746" s="3"/>
      <c r="F6746" s="19"/>
      <c r="G6746" s="19"/>
      <c r="N6746" s="19"/>
      <c r="P6746" s="19"/>
      <c r="AL6746" s="19"/>
    </row>
    <row r="6747" spans="1:38" s="11" customFormat="1" x14ac:dyDescent="0.25">
      <c r="A6747" s="3"/>
      <c r="F6747" s="19"/>
      <c r="G6747" s="19"/>
      <c r="N6747" s="19"/>
      <c r="P6747" s="19"/>
      <c r="AL6747" s="19"/>
    </row>
    <row r="6748" spans="1:38" s="11" customFormat="1" x14ac:dyDescent="0.25">
      <c r="A6748" s="3"/>
      <c r="F6748" s="19"/>
      <c r="G6748" s="19"/>
      <c r="N6748" s="19"/>
      <c r="P6748" s="19"/>
      <c r="AL6748" s="19"/>
    </row>
    <row r="6749" spans="1:38" s="11" customFormat="1" x14ac:dyDescent="0.25">
      <c r="A6749" s="3"/>
      <c r="F6749" s="19"/>
      <c r="G6749" s="19"/>
      <c r="N6749" s="19"/>
      <c r="P6749" s="19"/>
      <c r="AL6749" s="19"/>
    </row>
    <row r="6750" spans="1:38" s="11" customFormat="1" x14ac:dyDescent="0.25">
      <c r="A6750" s="3"/>
      <c r="F6750" s="19"/>
      <c r="G6750" s="19"/>
      <c r="N6750" s="19"/>
      <c r="P6750" s="19"/>
      <c r="AL6750" s="19"/>
    </row>
    <row r="6751" spans="1:38" s="11" customFormat="1" x14ac:dyDescent="0.25">
      <c r="A6751" s="3"/>
      <c r="F6751" s="19"/>
      <c r="G6751" s="19"/>
      <c r="N6751" s="19"/>
      <c r="P6751" s="19"/>
      <c r="AL6751" s="19"/>
    </row>
    <row r="6752" spans="1:38" s="11" customFormat="1" x14ac:dyDescent="0.25">
      <c r="A6752" s="3"/>
      <c r="F6752" s="19"/>
      <c r="G6752" s="19"/>
      <c r="N6752" s="19"/>
      <c r="P6752" s="19"/>
      <c r="AL6752" s="19"/>
    </row>
    <row r="6753" spans="1:38" s="11" customFormat="1" x14ac:dyDescent="0.25">
      <c r="A6753" s="3"/>
      <c r="F6753" s="19"/>
      <c r="G6753" s="19"/>
      <c r="N6753" s="19"/>
      <c r="P6753" s="19"/>
      <c r="AL6753" s="19"/>
    </row>
    <row r="6754" spans="1:38" s="11" customFormat="1" x14ac:dyDescent="0.25">
      <c r="A6754" s="3"/>
      <c r="F6754" s="19"/>
      <c r="G6754" s="19"/>
      <c r="N6754" s="19"/>
      <c r="P6754" s="19"/>
      <c r="AL6754" s="19"/>
    </row>
    <row r="6755" spans="1:38" s="11" customFormat="1" x14ac:dyDescent="0.25">
      <c r="A6755" s="3"/>
      <c r="F6755" s="19"/>
      <c r="G6755" s="19"/>
      <c r="N6755" s="19"/>
      <c r="P6755" s="19"/>
      <c r="AL6755" s="19"/>
    </row>
    <row r="6756" spans="1:38" s="11" customFormat="1" x14ac:dyDescent="0.25">
      <c r="A6756" s="3"/>
      <c r="F6756" s="19"/>
      <c r="G6756" s="19"/>
      <c r="N6756" s="19"/>
      <c r="P6756" s="19"/>
      <c r="AL6756" s="19"/>
    </row>
    <row r="6757" spans="1:38" s="11" customFormat="1" x14ac:dyDescent="0.25">
      <c r="A6757" s="3"/>
      <c r="F6757" s="19"/>
      <c r="G6757" s="19"/>
      <c r="N6757" s="19"/>
      <c r="P6757" s="19"/>
      <c r="AL6757" s="19"/>
    </row>
    <row r="6758" spans="1:38" s="11" customFormat="1" x14ac:dyDescent="0.25">
      <c r="A6758" s="3"/>
      <c r="F6758" s="19"/>
      <c r="G6758" s="19"/>
      <c r="N6758" s="19"/>
      <c r="P6758" s="19"/>
      <c r="AL6758" s="19"/>
    </row>
    <row r="6759" spans="1:38" s="11" customFormat="1" x14ac:dyDescent="0.25">
      <c r="A6759" s="3"/>
      <c r="F6759" s="19"/>
      <c r="G6759" s="19"/>
      <c r="N6759" s="19"/>
      <c r="P6759" s="19"/>
      <c r="AL6759" s="19"/>
    </row>
    <row r="6760" spans="1:38" s="11" customFormat="1" x14ac:dyDescent="0.25">
      <c r="A6760" s="3"/>
      <c r="F6760" s="19"/>
      <c r="G6760" s="19"/>
      <c r="N6760" s="19"/>
      <c r="P6760" s="19"/>
      <c r="AL6760" s="19"/>
    </row>
    <row r="6761" spans="1:38" s="11" customFormat="1" x14ac:dyDescent="0.25">
      <c r="A6761" s="3"/>
      <c r="F6761" s="19"/>
      <c r="G6761" s="19"/>
      <c r="N6761" s="19"/>
      <c r="P6761" s="19"/>
      <c r="AL6761" s="19"/>
    </row>
    <row r="6762" spans="1:38" s="11" customFormat="1" x14ac:dyDescent="0.25">
      <c r="A6762" s="3"/>
      <c r="F6762" s="19"/>
      <c r="G6762" s="19"/>
      <c r="N6762" s="19"/>
      <c r="P6762" s="19"/>
      <c r="AL6762" s="19"/>
    </row>
    <row r="6763" spans="1:38" s="11" customFormat="1" x14ac:dyDescent="0.25">
      <c r="A6763" s="3"/>
      <c r="F6763" s="19"/>
      <c r="G6763" s="19"/>
      <c r="N6763" s="19"/>
      <c r="P6763" s="19"/>
      <c r="AL6763" s="19"/>
    </row>
    <row r="6764" spans="1:38" s="11" customFormat="1" x14ac:dyDescent="0.25">
      <c r="A6764" s="3"/>
      <c r="F6764" s="19"/>
      <c r="G6764" s="19"/>
      <c r="N6764" s="19"/>
      <c r="P6764" s="19"/>
      <c r="AL6764" s="19"/>
    </row>
    <row r="6765" spans="1:38" s="11" customFormat="1" x14ac:dyDescent="0.25">
      <c r="A6765" s="3"/>
      <c r="F6765" s="19"/>
      <c r="G6765" s="19"/>
      <c r="N6765" s="19"/>
      <c r="P6765" s="19"/>
      <c r="AL6765" s="19"/>
    </row>
    <row r="6766" spans="1:38" s="11" customFormat="1" x14ac:dyDescent="0.25">
      <c r="A6766" s="3"/>
      <c r="F6766" s="19"/>
      <c r="G6766" s="19"/>
      <c r="N6766" s="19"/>
      <c r="P6766" s="19"/>
      <c r="AL6766" s="19"/>
    </row>
    <row r="6767" spans="1:38" s="11" customFormat="1" x14ac:dyDescent="0.25">
      <c r="A6767" s="3"/>
      <c r="F6767" s="19"/>
      <c r="G6767" s="19"/>
      <c r="N6767" s="19"/>
      <c r="P6767" s="19"/>
      <c r="AL6767" s="19"/>
    </row>
    <row r="6768" spans="1:38" s="11" customFormat="1" x14ac:dyDescent="0.25">
      <c r="A6768" s="3"/>
      <c r="F6768" s="19"/>
      <c r="G6768" s="19"/>
      <c r="N6768" s="19"/>
      <c r="P6768" s="19"/>
      <c r="AL6768" s="19"/>
    </row>
    <row r="6769" spans="1:38" s="11" customFormat="1" x14ac:dyDescent="0.25">
      <c r="A6769" s="3"/>
      <c r="F6769" s="19"/>
      <c r="G6769" s="19"/>
      <c r="N6769" s="19"/>
      <c r="P6769" s="19"/>
      <c r="AL6769" s="19"/>
    </row>
    <row r="6770" spans="1:38" s="11" customFormat="1" x14ac:dyDescent="0.25">
      <c r="A6770" s="3"/>
      <c r="F6770" s="19"/>
      <c r="G6770" s="19"/>
      <c r="N6770" s="19"/>
      <c r="P6770" s="19"/>
      <c r="AL6770" s="19"/>
    </row>
    <row r="6771" spans="1:38" s="11" customFormat="1" x14ac:dyDescent="0.25">
      <c r="A6771" s="3"/>
      <c r="F6771" s="19"/>
      <c r="G6771" s="19"/>
      <c r="N6771" s="19"/>
      <c r="P6771" s="19"/>
      <c r="AL6771" s="19"/>
    </row>
    <row r="6772" spans="1:38" s="11" customFormat="1" x14ac:dyDescent="0.25">
      <c r="A6772" s="3"/>
      <c r="F6772" s="19"/>
      <c r="G6772" s="19"/>
      <c r="N6772" s="19"/>
      <c r="P6772" s="19"/>
      <c r="AL6772" s="19"/>
    </row>
    <row r="6773" spans="1:38" s="11" customFormat="1" x14ac:dyDescent="0.25">
      <c r="A6773" s="3"/>
      <c r="F6773" s="19"/>
      <c r="G6773" s="19"/>
      <c r="N6773" s="19"/>
      <c r="P6773" s="19"/>
      <c r="AL6773" s="19"/>
    </row>
    <row r="6774" spans="1:38" s="11" customFormat="1" x14ac:dyDescent="0.25">
      <c r="A6774" s="3"/>
      <c r="F6774" s="19"/>
      <c r="G6774" s="19"/>
      <c r="N6774" s="19"/>
      <c r="P6774" s="19"/>
      <c r="AL6774" s="19"/>
    </row>
    <row r="6775" spans="1:38" s="11" customFormat="1" x14ac:dyDescent="0.25">
      <c r="A6775" s="3"/>
      <c r="F6775" s="19"/>
      <c r="G6775" s="19"/>
      <c r="N6775" s="19"/>
      <c r="P6775" s="19"/>
      <c r="AL6775" s="19"/>
    </row>
    <row r="6776" spans="1:38" s="11" customFormat="1" x14ac:dyDescent="0.25">
      <c r="A6776" s="3"/>
      <c r="F6776" s="19"/>
      <c r="G6776" s="19"/>
      <c r="N6776" s="19"/>
      <c r="P6776" s="19"/>
      <c r="AL6776" s="19"/>
    </row>
    <row r="6777" spans="1:38" s="11" customFormat="1" x14ac:dyDescent="0.25">
      <c r="A6777" s="3"/>
      <c r="F6777" s="19"/>
      <c r="G6777" s="19"/>
      <c r="N6777" s="19"/>
      <c r="P6777" s="19"/>
      <c r="AL6777" s="19"/>
    </row>
    <row r="6778" spans="1:38" s="11" customFormat="1" x14ac:dyDescent="0.25">
      <c r="A6778" s="3"/>
      <c r="F6778" s="19"/>
      <c r="G6778" s="19"/>
      <c r="N6778" s="19"/>
      <c r="P6778" s="19"/>
      <c r="AL6778" s="19"/>
    </row>
    <row r="6779" spans="1:38" s="11" customFormat="1" x14ac:dyDescent="0.25">
      <c r="A6779" s="3"/>
      <c r="F6779" s="19"/>
      <c r="G6779" s="19"/>
      <c r="N6779" s="19"/>
      <c r="P6779" s="19"/>
      <c r="AL6779" s="19"/>
    </row>
    <row r="6780" spans="1:38" s="11" customFormat="1" x14ac:dyDescent="0.25">
      <c r="A6780" s="3"/>
      <c r="F6780" s="19"/>
      <c r="G6780" s="19"/>
      <c r="N6780" s="19"/>
      <c r="P6780" s="19"/>
      <c r="AL6780" s="19"/>
    </row>
    <row r="6781" spans="1:38" s="11" customFormat="1" x14ac:dyDescent="0.25">
      <c r="A6781" s="3"/>
      <c r="F6781" s="19"/>
      <c r="G6781" s="19"/>
      <c r="N6781" s="19"/>
      <c r="P6781" s="19"/>
      <c r="AL6781" s="19"/>
    </row>
    <row r="6782" spans="1:38" s="11" customFormat="1" x14ac:dyDescent="0.25">
      <c r="A6782" s="3"/>
      <c r="F6782" s="19"/>
      <c r="G6782" s="19"/>
      <c r="N6782" s="19"/>
      <c r="P6782" s="19"/>
      <c r="AL6782" s="19"/>
    </row>
    <row r="6783" spans="1:38" s="11" customFormat="1" x14ac:dyDescent="0.25">
      <c r="A6783" s="3"/>
      <c r="F6783" s="19"/>
      <c r="G6783" s="19"/>
      <c r="N6783" s="19"/>
      <c r="P6783" s="19"/>
      <c r="AL6783" s="19"/>
    </row>
    <row r="6784" spans="1:38" s="11" customFormat="1" x14ac:dyDescent="0.25">
      <c r="A6784" s="3"/>
      <c r="F6784" s="19"/>
      <c r="G6784" s="19"/>
      <c r="N6784" s="19"/>
      <c r="P6784" s="19"/>
      <c r="AL6784" s="19"/>
    </row>
    <row r="6785" spans="1:38" s="11" customFormat="1" x14ac:dyDescent="0.25">
      <c r="A6785" s="3"/>
      <c r="F6785" s="19"/>
      <c r="G6785" s="19"/>
      <c r="N6785" s="19"/>
      <c r="P6785" s="19"/>
      <c r="AL6785" s="19"/>
    </row>
    <row r="6786" spans="1:38" s="11" customFormat="1" x14ac:dyDescent="0.25">
      <c r="A6786" s="3"/>
      <c r="F6786" s="19"/>
      <c r="G6786" s="19"/>
      <c r="N6786" s="19"/>
      <c r="P6786" s="19"/>
      <c r="AL6786" s="19"/>
    </row>
    <row r="6787" spans="1:38" s="11" customFormat="1" x14ac:dyDescent="0.25">
      <c r="A6787" s="3"/>
      <c r="F6787" s="19"/>
      <c r="G6787" s="19"/>
      <c r="N6787" s="19"/>
      <c r="P6787" s="19"/>
      <c r="AL6787" s="19"/>
    </row>
    <row r="6788" spans="1:38" s="11" customFormat="1" x14ac:dyDescent="0.25">
      <c r="A6788" s="3"/>
      <c r="F6788" s="19"/>
      <c r="G6788" s="19"/>
      <c r="N6788" s="19"/>
      <c r="P6788" s="19"/>
      <c r="AL6788" s="19"/>
    </row>
    <row r="6789" spans="1:38" s="11" customFormat="1" x14ac:dyDescent="0.25">
      <c r="A6789" s="3"/>
      <c r="F6789" s="19"/>
      <c r="G6789" s="19"/>
      <c r="N6789" s="19"/>
      <c r="P6789" s="19"/>
      <c r="AL6789" s="19"/>
    </row>
    <row r="6790" spans="1:38" s="11" customFormat="1" x14ac:dyDescent="0.25">
      <c r="A6790" s="3"/>
      <c r="F6790" s="19"/>
      <c r="G6790" s="19"/>
      <c r="N6790" s="19"/>
      <c r="P6790" s="19"/>
      <c r="AL6790" s="19"/>
    </row>
    <row r="6791" spans="1:38" s="11" customFormat="1" x14ac:dyDescent="0.25">
      <c r="A6791" s="3"/>
      <c r="F6791" s="19"/>
      <c r="G6791" s="19"/>
      <c r="N6791" s="19"/>
      <c r="P6791" s="19"/>
      <c r="AL6791" s="19"/>
    </row>
    <row r="6792" spans="1:38" s="11" customFormat="1" x14ac:dyDescent="0.25">
      <c r="A6792" s="3"/>
      <c r="F6792" s="19"/>
      <c r="G6792" s="19"/>
      <c r="N6792" s="19"/>
      <c r="P6792" s="19"/>
      <c r="AL6792" s="19"/>
    </row>
    <row r="6793" spans="1:38" s="11" customFormat="1" x14ac:dyDescent="0.25">
      <c r="A6793" s="3"/>
      <c r="F6793" s="19"/>
      <c r="G6793" s="19"/>
      <c r="N6793" s="19"/>
      <c r="P6793" s="19"/>
      <c r="AL6793" s="19"/>
    </row>
    <row r="6794" spans="1:38" s="11" customFormat="1" x14ac:dyDescent="0.25">
      <c r="A6794" s="3"/>
      <c r="F6794" s="19"/>
      <c r="G6794" s="19"/>
      <c r="N6794" s="19"/>
      <c r="P6794" s="19"/>
      <c r="AL6794" s="19"/>
    </row>
    <row r="6795" spans="1:38" s="11" customFormat="1" x14ac:dyDescent="0.25">
      <c r="A6795" s="3"/>
      <c r="F6795" s="19"/>
      <c r="G6795" s="19"/>
      <c r="N6795" s="19"/>
      <c r="P6795" s="19"/>
      <c r="AL6795" s="19"/>
    </row>
    <row r="6796" spans="1:38" s="11" customFormat="1" x14ac:dyDescent="0.25">
      <c r="A6796" s="3"/>
      <c r="F6796" s="19"/>
      <c r="G6796" s="19"/>
      <c r="N6796" s="19"/>
      <c r="P6796" s="19"/>
      <c r="AL6796" s="19"/>
    </row>
    <row r="6797" spans="1:38" s="11" customFormat="1" x14ac:dyDescent="0.25">
      <c r="A6797" s="3"/>
      <c r="F6797" s="19"/>
      <c r="G6797" s="19"/>
      <c r="N6797" s="19"/>
      <c r="P6797" s="19"/>
      <c r="AL6797" s="19"/>
    </row>
    <row r="6798" spans="1:38" s="11" customFormat="1" x14ac:dyDescent="0.25">
      <c r="A6798" s="3"/>
      <c r="F6798" s="19"/>
      <c r="G6798" s="19"/>
      <c r="N6798" s="19"/>
      <c r="P6798" s="19"/>
      <c r="AL6798" s="19"/>
    </row>
    <row r="6799" spans="1:38" s="11" customFormat="1" x14ac:dyDescent="0.25">
      <c r="A6799" s="3"/>
      <c r="F6799" s="19"/>
      <c r="G6799" s="19"/>
      <c r="N6799" s="19"/>
      <c r="P6799" s="19"/>
      <c r="AL6799" s="19"/>
    </row>
    <row r="6800" spans="1:38" s="11" customFormat="1" x14ac:dyDescent="0.25">
      <c r="A6800" s="3"/>
      <c r="F6800" s="19"/>
      <c r="G6800" s="19"/>
      <c r="N6800" s="19"/>
      <c r="P6800" s="19"/>
      <c r="AL6800" s="19"/>
    </row>
    <row r="6801" spans="1:38" s="11" customFormat="1" x14ac:dyDescent="0.25">
      <c r="A6801" s="3"/>
      <c r="F6801" s="19"/>
      <c r="G6801" s="19"/>
      <c r="N6801" s="19"/>
      <c r="P6801" s="19"/>
      <c r="AL6801" s="19"/>
    </row>
    <row r="6802" spans="1:38" s="11" customFormat="1" x14ac:dyDescent="0.25">
      <c r="A6802" s="3"/>
      <c r="F6802" s="19"/>
      <c r="G6802" s="19"/>
      <c r="N6802" s="19"/>
      <c r="P6802" s="19"/>
      <c r="AL6802" s="19"/>
    </row>
    <row r="6803" spans="1:38" s="11" customFormat="1" x14ac:dyDescent="0.25">
      <c r="A6803" s="3"/>
      <c r="F6803" s="19"/>
      <c r="G6803" s="19"/>
      <c r="N6803" s="19"/>
      <c r="P6803" s="19"/>
      <c r="AL6803" s="19"/>
    </row>
    <row r="6804" spans="1:38" s="11" customFormat="1" x14ac:dyDescent="0.25">
      <c r="A6804" s="3"/>
      <c r="F6804" s="19"/>
      <c r="G6804" s="19"/>
      <c r="N6804" s="19"/>
      <c r="P6804" s="19"/>
      <c r="AL6804" s="19"/>
    </row>
    <row r="6805" spans="1:38" s="11" customFormat="1" x14ac:dyDescent="0.25">
      <c r="A6805" s="3"/>
      <c r="F6805" s="19"/>
      <c r="G6805" s="19"/>
      <c r="N6805" s="19"/>
      <c r="P6805" s="19"/>
      <c r="AL6805" s="19"/>
    </row>
    <row r="6806" spans="1:38" s="11" customFormat="1" x14ac:dyDescent="0.25">
      <c r="A6806" s="3"/>
      <c r="F6806" s="19"/>
      <c r="G6806" s="19"/>
      <c r="N6806" s="19"/>
      <c r="P6806" s="19"/>
      <c r="AL6806" s="19"/>
    </row>
    <row r="6807" spans="1:38" s="11" customFormat="1" x14ac:dyDescent="0.25">
      <c r="A6807" s="3"/>
      <c r="F6807" s="19"/>
      <c r="G6807" s="19"/>
      <c r="N6807" s="19"/>
      <c r="P6807" s="19"/>
      <c r="AL6807" s="19"/>
    </row>
    <row r="6808" spans="1:38" s="11" customFormat="1" x14ac:dyDescent="0.25">
      <c r="A6808" s="3"/>
      <c r="F6808" s="19"/>
      <c r="G6808" s="19"/>
      <c r="N6808" s="19"/>
      <c r="P6808" s="19"/>
      <c r="AL6808" s="19"/>
    </row>
    <row r="6809" spans="1:38" s="11" customFormat="1" x14ac:dyDescent="0.25">
      <c r="A6809" s="3"/>
      <c r="F6809" s="19"/>
      <c r="G6809" s="19"/>
      <c r="N6809" s="19"/>
      <c r="P6809" s="19"/>
      <c r="AL6809" s="19"/>
    </row>
    <row r="6810" spans="1:38" s="11" customFormat="1" x14ac:dyDescent="0.25">
      <c r="A6810" s="3"/>
      <c r="F6810" s="19"/>
      <c r="G6810" s="19"/>
      <c r="N6810" s="19"/>
      <c r="P6810" s="19"/>
      <c r="AL6810" s="19"/>
    </row>
    <row r="6811" spans="1:38" s="11" customFormat="1" x14ac:dyDescent="0.25">
      <c r="A6811" s="3"/>
      <c r="F6811" s="19"/>
      <c r="G6811" s="19"/>
      <c r="N6811" s="19"/>
      <c r="P6811" s="19"/>
      <c r="AL6811" s="19"/>
    </row>
    <row r="6812" spans="1:38" s="11" customFormat="1" x14ac:dyDescent="0.25">
      <c r="A6812" s="3"/>
      <c r="F6812" s="19"/>
      <c r="G6812" s="19"/>
      <c r="N6812" s="19"/>
      <c r="P6812" s="19"/>
      <c r="AL6812" s="19"/>
    </row>
    <row r="6813" spans="1:38" s="11" customFormat="1" x14ac:dyDescent="0.25">
      <c r="A6813" s="3"/>
      <c r="F6813" s="19"/>
      <c r="G6813" s="19"/>
      <c r="N6813" s="19"/>
      <c r="P6813" s="19"/>
      <c r="AL6813" s="19"/>
    </row>
    <row r="6814" spans="1:38" s="11" customFormat="1" x14ac:dyDescent="0.25">
      <c r="A6814" s="3"/>
      <c r="F6814" s="19"/>
      <c r="G6814" s="19"/>
      <c r="N6814" s="19"/>
      <c r="P6814" s="19"/>
      <c r="AL6814" s="19"/>
    </row>
    <row r="6815" spans="1:38" s="11" customFormat="1" x14ac:dyDescent="0.25">
      <c r="A6815" s="3"/>
      <c r="F6815" s="19"/>
      <c r="G6815" s="19"/>
      <c r="N6815" s="19"/>
      <c r="P6815" s="19"/>
      <c r="AL6815" s="19"/>
    </row>
    <row r="6816" spans="1:38" s="11" customFormat="1" x14ac:dyDescent="0.25">
      <c r="A6816" s="3"/>
      <c r="F6816" s="19"/>
      <c r="G6816" s="19"/>
      <c r="N6816" s="19"/>
      <c r="P6816" s="19"/>
      <c r="AL6816" s="19"/>
    </row>
    <row r="6817" spans="1:38" s="11" customFormat="1" x14ac:dyDescent="0.25">
      <c r="A6817" s="3"/>
      <c r="F6817" s="19"/>
      <c r="G6817" s="19"/>
      <c r="N6817" s="19"/>
      <c r="P6817" s="19"/>
      <c r="AL6817" s="19"/>
    </row>
    <row r="6818" spans="1:38" s="11" customFormat="1" x14ac:dyDescent="0.25">
      <c r="A6818" s="3"/>
      <c r="F6818" s="19"/>
      <c r="G6818" s="19"/>
      <c r="N6818" s="19"/>
      <c r="P6818" s="19"/>
      <c r="AL6818" s="19"/>
    </row>
    <row r="6819" spans="1:38" s="11" customFormat="1" x14ac:dyDescent="0.25">
      <c r="A6819" s="3"/>
      <c r="F6819" s="19"/>
      <c r="G6819" s="19"/>
      <c r="N6819" s="19"/>
      <c r="P6819" s="19"/>
      <c r="AL6819" s="19"/>
    </row>
    <row r="6820" spans="1:38" s="11" customFormat="1" x14ac:dyDescent="0.25">
      <c r="A6820" s="3"/>
      <c r="F6820" s="19"/>
      <c r="G6820" s="19"/>
      <c r="N6820" s="19"/>
      <c r="P6820" s="19"/>
      <c r="AL6820" s="19"/>
    </row>
    <row r="6821" spans="1:38" s="11" customFormat="1" x14ac:dyDescent="0.25">
      <c r="A6821" s="3"/>
      <c r="F6821" s="19"/>
      <c r="G6821" s="19"/>
      <c r="N6821" s="19"/>
      <c r="P6821" s="19"/>
      <c r="AL6821" s="19"/>
    </row>
    <row r="6822" spans="1:38" s="11" customFormat="1" x14ac:dyDescent="0.25">
      <c r="A6822" s="3"/>
      <c r="F6822" s="19"/>
      <c r="G6822" s="19"/>
      <c r="N6822" s="19"/>
      <c r="P6822" s="19"/>
      <c r="AL6822" s="19"/>
    </row>
    <row r="6823" spans="1:38" s="11" customFormat="1" x14ac:dyDescent="0.25">
      <c r="A6823" s="3"/>
      <c r="F6823" s="19"/>
      <c r="G6823" s="19"/>
      <c r="N6823" s="19"/>
      <c r="P6823" s="19"/>
      <c r="AL6823" s="19"/>
    </row>
    <row r="6824" spans="1:38" s="11" customFormat="1" x14ac:dyDescent="0.25">
      <c r="A6824" s="3"/>
      <c r="F6824" s="19"/>
      <c r="G6824" s="19"/>
      <c r="N6824" s="19"/>
      <c r="P6824" s="19"/>
      <c r="AL6824" s="19"/>
    </row>
    <row r="6825" spans="1:38" s="11" customFormat="1" x14ac:dyDescent="0.25">
      <c r="A6825" s="3"/>
      <c r="F6825" s="19"/>
      <c r="G6825" s="19"/>
      <c r="N6825" s="19"/>
      <c r="P6825" s="19"/>
      <c r="AL6825" s="19"/>
    </row>
    <row r="6826" spans="1:38" s="11" customFormat="1" x14ac:dyDescent="0.25">
      <c r="A6826" s="3"/>
      <c r="F6826" s="19"/>
      <c r="G6826" s="19"/>
      <c r="N6826" s="19"/>
      <c r="P6826" s="19"/>
      <c r="AL6826" s="19"/>
    </row>
    <row r="6827" spans="1:38" s="11" customFormat="1" x14ac:dyDescent="0.25">
      <c r="A6827" s="3"/>
      <c r="F6827" s="19"/>
      <c r="G6827" s="19"/>
      <c r="N6827" s="19"/>
      <c r="P6827" s="19"/>
      <c r="AL6827" s="19"/>
    </row>
    <row r="6828" spans="1:38" s="11" customFormat="1" x14ac:dyDescent="0.25">
      <c r="A6828" s="3"/>
      <c r="F6828" s="19"/>
      <c r="G6828" s="19"/>
      <c r="N6828" s="19"/>
      <c r="P6828" s="19"/>
      <c r="AL6828" s="19"/>
    </row>
    <row r="6829" spans="1:38" s="11" customFormat="1" x14ac:dyDescent="0.25">
      <c r="A6829" s="3"/>
      <c r="F6829" s="19"/>
      <c r="G6829" s="19"/>
      <c r="N6829" s="19"/>
      <c r="P6829" s="19"/>
      <c r="AL6829" s="19"/>
    </row>
    <row r="6830" spans="1:38" s="11" customFormat="1" x14ac:dyDescent="0.25">
      <c r="A6830" s="3"/>
      <c r="F6830" s="19"/>
      <c r="G6830" s="19"/>
      <c r="N6830" s="19"/>
      <c r="P6830" s="19"/>
      <c r="AL6830" s="19"/>
    </row>
    <row r="6831" spans="1:38" s="11" customFormat="1" x14ac:dyDescent="0.25">
      <c r="A6831" s="3"/>
      <c r="F6831" s="19"/>
      <c r="G6831" s="19"/>
      <c r="N6831" s="19"/>
      <c r="P6831" s="19"/>
      <c r="AL6831" s="19"/>
    </row>
    <row r="6832" spans="1:38" s="11" customFormat="1" x14ac:dyDescent="0.25">
      <c r="A6832" s="3"/>
      <c r="F6832" s="19"/>
      <c r="G6832" s="19"/>
      <c r="N6832" s="19"/>
      <c r="P6832" s="19"/>
      <c r="AL6832" s="19"/>
    </row>
    <row r="6833" spans="1:38" s="11" customFormat="1" x14ac:dyDescent="0.25">
      <c r="A6833" s="3"/>
      <c r="F6833" s="19"/>
      <c r="G6833" s="19"/>
      <c r="N6833" s="19"/>
      <c r="P6833" s="19"/>
      <c r="AL6833" s="19"/>
    </row>
    <row r="6834" spans="1:38" s="11" customFormat="1" x14ac:dyDescent="0.25">
      <c r="A6834" s="3"/>
      <c r="F6834" s="19"/>
      <c r="G6834" s="19"/>
      <c r="N6834" s="19"/>
      <c r="P6834" s="19"/>
      <c r="AL6834" s="19"/>
    </row>
    <row r="6835" spans="1:38" s="11" customFormat="1" x14ac:dyDescent="0.25">
      <c r="A6835" s="3"/>
      <c r="F6835" s="19"/>
      <c r="G6835" s="19"/>
      <c r="N6835" s="19"/>
      <c r="P6835" s="19"/>
      <c r="AL6835" s="19"/>
    </row>
    <row r="6836" spans="1:38" s="11" customFormat="1" x14ac:dyDescent="0.25">
      <c r="A6836" s="3"/>
      <c r="F6836" s="19"/>
      <c r="G6836" s="19"/>
      <c r="N6836" s="19"/>
      <c r="P6836" s="19"/>
      <c r="AL6836" s="19"/>
    </row>
    <row r="6837" spans="1:38" s="11" customFormat="1" x14ac:dyDescent="0.25">
      <c r="A6837" s="3"/>
      <c r="F6837" s="19"/>
      <c r="G6837" s="19"/>
      <c r="N6837" s="19"/>
      <c r="P6837" s="19"/>
      <c r="AL6837" s="19"/>
    </row>
    <row r="6838" spans="1:38" s="11" customFormat="1" x14ac:dyDescent="0.25">
      <c r="A6838" s="3"/>
      <c r="F6838" s="19"/>
      <c r="G6838" s="19"/>
      <c r="N6838" s="19"/>
      <c r="P6838" s="19"/>
      <c r="AL6838" s="19"/>
    </row>
    <row r="6839" spans="1:38" s="11" customFormat="1" x14ac:dyDescent="0.25">
      <c r="A6839" s="3"/>
      <c r="F6839" s="19"/>
      <c r="G6839" s="19"/>
      <c r="N6839" s="19"/>
      <c r="P6839" s="19"/>
      <c r="AL6839" s="19"/>
    </row>
    <row r="6840" spans="1:38" s="11" customFormat="1" x14ac:dyDescent="0.25">
      <c r="A6840" s="3"/>
      <c r="F6840" s="19"/>
      <c r="G6840" s="19"/>
      <c r="N6840" s="19"/>
      <c r="P6840" s="19"/>
      <c r="AL6840" s="19"/>
    </row>
    <row r="6841" spans="1:38" s="11" customFormat="1" x14ac:dyDescent="0.25">
      <c r="A6841" s="3"/>
      <c r="F6841" s="19"/>
      <c r="G6841" s="19"/>
      <c r="N6841" s="19"/>
      <c r="P6841" s="19"/>
      <c r="AL6841" s="19"/>
    </row>
    <row r="6842" spans="1:38" s="11" customFormat="1" x14ac:dyDescent="0.25">
      <c r="A6842" s="3"/>
      <c r="F6842" s="19"/>
      <c r="G6842" s="19"/>
      <c r="N6842" s="19"/>
      <c r="P6842" s="19"/>
      <c r="AL6842" s="19"/>
    </row>
    <row r="6843" spans="1:38" s="11" customFormat="1" x14ac:dyDescent="0.25">
      <c r="A6843" s="3"/>
      <c r="F6843" s="19"/>
      <c r="G6843" s="19"/>
      <c r="N6843" s="19"/>
      <c r="P6843" s="19"/>
      <c r="AL6843" s="19"/>
    </row>
    <row r="6844" spans="1:38" s="11" customFormat="1" x14ac:dyDescent="0.25">
      <c r="A6844" s="3"/>
      <c r="F6844" s="19"/>
      <c r="G6844" s="19"/>
      <c r="N6844" s="19"/>
      <c r="P6844" s="19"/>
      <c r="AL6844" s="19"/>
    </row>
    <row r="6845" spans="1:38" s="11" customFormat="1" x14ac:dyDescent="0.25">
      <c r="A6845" s="3"/>
      <c r="F6845" s="19"/>
      <c r="G6845" s="19"/>
      <c r="N6845" s="19"/>
      <c r="P6845" s="19"/>
      <c r="AL6845" s="19"/>
    </row>
    <row r="6846" spans="1:38" s="11" customFormat="1" x14ac:dyDescent="0.25">
      <c r="A6846" s="3"/>
      <c r="F6846" s="19"/>
      <c r="G6846" s="19"/>
      <c r="N6846" s="19"/>
      <c r="P6846" s="19"/>
      <c r="AL6846" s="19"/>
    </row>
    <row r="6847" spans="1:38" s="11" customFormat="1" x14ac:dyDescent="0.25">
      <c r="A6847" s="3"/>
      <c r="F6847" s="19"/>
      <c r="G6847" s="19"/>
      <c r="N6847" s="19"/>
      <c r="P6847" s="19"/>
      <c r="AL6847" s="19"/>
    </row>
    <row r="6848" spans="1:38" s="11" customFormat="1" x14ac:dyDescent="0.25">
      <c r="A6848" s="3"/>
      <c r="F6848" s="19"/>
      <c r="G6848" s="19"/>
      <c r="N6848" s="19"/>
      <c r="P6848" s="19"/>
      <c r="AL6848" s="19"/>
    </row>
    <row r="6849" spans="1:38" s="11" customFormat="1" x14ac:dyDescent="0.25">
      <c r="A6849" s="3"/>
      <c r="F6849" s="19"/>
      <c r="G6849" s="19"/>
      <c r="N6849" s="19"/>
      <c r="P6849" s="19"/>
      <c r="AL6849" s="19"/>
    </row>
    <row r="6850" spans="1:38" s="11" customFormat="1" x14ac:dyDescent="0.25">
      <c r="A6850" s="3"/>
      <c r="F6850" s="19"/>
      <c r="G6850" s="19"/>
      <c r="N6850" s="19"/>
      <c r="P6850" s="19"/>
      <c r="AL6850" s="19"/>
    </row>
    <row r="6851" spans="1:38" s="11" customFormat="1" x14ac:dyDescent="0.25">
      <c r="A6851" s="3"/>
      <c r="F6851" s="19"/>
      <c r="G6851" s="19"/>
      <c r="N6851" s="19"/>
      <c r="P6851" s="19"/>
      <c r="AL6851" s="19"/>
    </row>
    <row r="6852" spans="1:38" s="11" customFormat="1" x14ac:dyDescent="0.25">
      <c r="A6852" s="3"/>
      <c r="F6852" s="19"/>
      <c r="G6852" s="19"/>
      <c r="N6852" s="19"/>
      <c r="P6852" s="19"/>
      <c r="AL6852" s="19"/>
    </row>
    <row r="6853" spans="1:38" s="11" customFormat="1" x14ac:dyDescent="0.25">
      <c r="A6853" s="3"/>
      <c r="F6853" s="19"/>
      <c r="G6853" s="19"/>
      <c r="N6853" s="19"/>
      <c r="P6853" s="19"/>
      <c r="AL6853" s="19"/>
    </row>
    <row r="6854" spans="1:38" s="11" customFormat="1" x14ac:dyDescent="0.25">
      <c r="A6854" s="3"/>
      <c r="F6854" s="19"/>
      <c r="G6854" s="19"/>
      <c r="N6854" s="19"/>
      <c r="P6854" s="19"/>
      <c r="AL6854" s="19"/>
    </row>
    <row r="6855" spans="1:38" s="11" customFormat="1" x14ac:dyDescent="0.25">
      <c r="A6855" s="3"/>
      <c r="F6855" s="19"/>
      <c r="G6855" s="19"/>
      <c r="N6855" s="19"/>
      <c r="P6855" s="19"/>
      <c r="AL6855" s="19"/>
    </row>
    <row r="6856" spans="1:38" s="11" customFormat="1" x14ac:dyDescent="0.25">
      <c r="A6856" s="3"/>
      <c r="F6856" s="19"/>
      <c r="G6856" s="19"/>
      <c r="N6856" s="19"/>
      <c r="P6856" s="19"/>
      <c r="AL6856" s="19"/>
    </row>
    <row r="6857" spans="1:38" s="11" customFormat="1" x14ac:dyDescent="0.25">
      <c r="A6857" s="3"/>
      <c r="F6857" s="19"/>
      <c r="G6857" s="19"/>
      <c r="N6857" s="19"/>
      <c r="P6857" s="19"/>
      <c r="AL6857" s="19"/>
    </row>
    <row r="6858" spans="1:38" s="11" customFormat="1" x14ac:dyDescent="0.25">
      <c r="A6858" s="3"/>
      <c r="F6858" s="19"/>
      <c r="G6858" s="19"/>
      <c r="N6858" s="19"/>
      <c r="P6858" s="19"/>
      <c r="AL6858" s="19"/>
    </row>
    <row r="6859" spans="1:38" s="11" customFormat="1" x14ac:dyDescent="0.25">
      <c r="A6859" s="3"/>
      <c r="F6859" s="19"/>
      <c r="G6859" s="19"/>
      <c r="N6859" s="19"/>
      <c r="P6859" s="19"/>
      <c r="AL6859" s="19"/>
    </row>
    <row r="6860" spans="1:38" s="11" customFormat="1" x14ac:dyDescent="0.25">
      <c r="A6860" s="3"/>
      <c r="F6860" s="19"/>
      <c r="G6860" s="19"/>
      <c r="N6860" s="19"/>
      <c r="P6860" s="19"/>
      <c r="AL6860" s="19"/>
    </row>
    <row r="6861" spans="1:38" s="11" customFormat="1" x14ac:dyDescent="0.25">
      <c r="A6861" s="3"/>
      <c r="F6861" s="19"/>
      <c r="G6861" s="19"/>
      <c r="N6861" s="19"/>
      <c r="P6861" s="19"/>
      <c r="AL6861" s="19"/>
    </row>
    <row r="6862" spans="1:38" s="11" customFormat="1" x14ac:dyDescent="0.25">
      <c r="A6862" s="3"/>
      <c r="F6862" s="19"/>
      <c r="G6862" s="19"/>
      <c r="N6862" s="19"/>
      <c r="P6862" s="19"/>
      <c r="AL6862" s="19"/>
    </row>
    <row r="6863" spans="1:38" s="11" customFormat="1" x14ac:dyDescent="0.25">
      <c r="A6863" s="3"/>
      <c r="F6863" s="19"/>
      <c r="G6863" s="19"/>
      <c r="N6863" s="19"/>
      <c r="P6863" s="19"/>
      <c r="AL6863" s="19"/>
    </row>
    <row r="6864" spans="1:38" s="11" customFormat="1" x14ac:dyDescent="0.25">
      <c r="A6864" s="3"/>
      <c r="F6864" s="19"/>
      <c r="G6864" s="19"/>
      <c r="N6864" s="19"/>
      <c r="P6864" s="19"/>
      <c r="AL6864" s="19"/>
    </row>
    <row r="6865" spans="1:38" s="11" customFormat="1" x14ac:dyDescent="0.25">
      <c r="A6865" s="3"/>
      <c r="F6865" s="19"/>
      <c r="G6865" s="19"/>
      <c r="N6865" s="19"/>
      <c r="P6865" s="19"/>
      <c r="AL6865" s="19"/>
    </row>
    <row r="6866" spans="1:38" s="11" customFormat="1" x14ac:dyDescent="0.25">
      <c r="A6866" s="3"/>
      <c r="F6866" s="19"/>
      <c r="G6866" s="19"/>
      <c r="N6866" s="19"/>
      <c r="P6866" s="19"/>
      <c r="AL6866" s="19"/>
    </row>
    <row r="6867" spans="1:38" s="11" customFormat="1" x14ac:dyDescent="0.25">
      <c r="A6867" s="3"/>
      <c r="F6867" s="19"/>
      <c r="G6867" s="19"/>
      <c r="N6867" s="19"/>
      <c r="P6867" s="19"/>
      <c r="AL6867" s="19"/>
    </row>
    <row r="6868" spans="1:38" s="11" customFormat="1" x14ac:dyDescent="0.25">
      <c r="A6868" s="3"/>
      <c r="F6868" s="19"/>
      <c r="G6868" s="19"/>
      <c r="N6868" s="19"/>
      <c r="P6868" s="19"/>
      <c r="AL6868" s="19"/>
    </row>
    <row r="6869" spans="1:38" s="11" customFormat="1" x14ac:dyDescent="0.25">
      <c r="A6869" s="3"/>
      <c r="F6869" s="19"/>
      <c r="G6869" s="19"/>
      <c r="N6869" s="19"/>
      <c r="P6869" s="19"/>
      <c r="AL6869" s="19"/>
    </row>
    <row r="6870" spans="1:38" s="11" customFormat="1" x14ac:dyDescent="0.25">
      <c r="A6870" s="3"/>
      <c r="F6870" s="19"/>
      <c r="G6870" s="19"/>
      <c r="N6870" s="19"/>
      <c r="P6870" s="19"/>
      <c r="AL6870" s="19"/>
    </row>
    <row r="6871" spans="1:38" s="11" customFormat="1" x14ac:dyDescent="0.25">
      <c r="A6871" s="3"/>
      <c r="F6871" s="19"/>
      <c r="G6871" s="19"/>
      <c r="N6871" s="19"/>
      <c r="P6871" s="19"/>
      <c r="AL6871" s="19"/>
    </row>
    <row r="6872" spans="1:38" s="11" customFormat="1" x14ac:dyDescent="0.25">
      <c r="A6872" s="3"/>
      <c r="F6872" s="19"/>
      <c r="G6872" s="19"/>
      <c r="N6872" s="19"/>
      <c r="P6872" s="19"/>
      <c r="AL6872" s="19"/>
    </row>
    <row r="6873" spans="1:38" s="11" customFormat="1" x14ac:dyDescent="0.25">
      <c r="A6873" s="3"/>
      <c r="F6873" s="19"/>
      <c r="G6873" s="19"/>
      <c r="N6873" s="19"/>
      <c r="P6873" s="19"/>
      <c r="AL6873" s="19"/>
    </row>
    <row r="6874" spans="1:38" s="11" customFormat="1" x14ac:dyDescent="0.25">
      <c r="A6874" s="3"/>
      <c r="F6874" s="19"/>
      <c r="G6874" s="19"/>
      <c r="N6874" s="19"/>
      <c r="P6874" s="19"/>
      <c r="AL6874" s="19"/>
    </row>
    <row r="6875" spans="1:38" s="11" customFormat="1" x14ac:dyDescent="0.25">
      <c r="A6875" s="3"/>
      <c r="F6875" s="19"/>
      <c r="G6875" s="19"/>
      <c r="N6875" s="19"/>
      <c r="P6875" s="19"/>
      <c r="AL6875" s="19"/>
    </row>
    <row r="6876" spans="1:38" s="11" customFormat="1" x14ac:dyDescent="0.25">
      <c r="A6876" s="3"/>
      <c r="F6876" s="19"/>
      <c r="G6876" s="19"/>
      <c r="N6876" s="19"/>
      <c r="P6876" s="19"/>
      <c r="AL6876" s="19"/>
    </row>
    <row r="6877" spans="1:38" s="11" customFormat="1" x14ac:dyDescent="0.25">
      <c r="A6877" s="3"/>
      <c r="F6877" s="19"/>
      <c r="G6877" s="19"/>
      <c r="N6877" s="19"/>
      <c r="P6877" s="19"/>
      <c r="AL6877" s="19"/>
    </row>
    <row r="6878" spans="1:38" s="11" customFormat="1" x14ac:dyDescent="0.25">
      <c r="A6878" s="3"/>
      <c r="F6878" s="19"/>
      <c r="G6878" s="19"/>
      <c r="N6878" s="19"/>
      <c r="P6878" s="19"/>
      <c r="AL6878" s="19"/>
    </row>
    <row r="6879" spans="1:38" s="11" customFormat="1" x14ac:dyDescent="0.25">
      <c r="A6879" s="3"/>
      <c r="F6879" s="19"/>
      <c r="G6879" s="19"/>
      <c r="N6879" s="19"/>
      <c r="P6879" s="19"/>
      <c r="AL6879" s="19"/>
    </row>
    <row r="6880" spans="1:38" s="11" customFormat="1" x14ac:dyDescent="0.25">
      <c r="A6880" s="3"/>
      <c r="F6880" s="19"/>
      <c r="G6880" s="19"/>
      <c r="N6880" s="19"/>
      <c r="P6880" s="19"/>
      <c r="AL6880" s="19"/>
    </row>
    <row r="6881" spans="1:38" s="11" customFormat="1" x14ac:dyDescent="0.25">
      <c r="A6881" s="3"/>
      <c r="F6881" s="19"/>
      <c r="G6881" s="19"/>
      <c r="N6881" s="19"/>
      <c r="P6881" s="19"/>
      <c r="AL6881" s="19"/>
    </row>
    <row r="6882" spans="1:38" s="11" customFormat="1" x14ac:dyDescent="0.25">
      <c r="A6882" s="3"/>
      <c r="F6882" s="19"/>
      <c r="G6882" s="19"/>
      <c r="N6882" s="19"/>
      <c r="P6882" s="19"/>
      <c r="AL6882" s="19"/>
    </row>
    <row r="6883" spans="1:38" s="11" customFormat="1" x14ac:dyDescent="0.25">
      <c r="A6883" s="3"/>
      <c r="F6883" s="19"/>
      <c r="G6883" s="19"/>
      <c r="N6883" s="19"/>
      <c r="P6883" s="19"/>
      <c r="AL6883" s="19"/>
    </row>
    <row r="6884" spans="1:38" s="11" customFormat="1" x14ac:dyDescent="0.25">
      <c r="A6884" s="3"/>
      <c r="F6884" s="19"/>
      <c r="G6884" s="19"/>
      <c r="N6884" s="19"/>
      <c r="P6884" s="19"/>
      <c r="AL6884" s="19"/>
    </row>
    <row r="6885" spans="1:38" s="11" customFormat="1" x14ac:dyDescent="0.25">
      <c r="A6885" s="3"/>
      <c r="F6885" s="19"/>
      <c r="G6885" s="19"/>
      <c r="N6885" s="19"/>
      <c r="P6885" s="19"/>
      <c r="AL6885" s="19"/>
    </row>
    <row r="6886" spans="1:38" s="11" customFormat="1" x14ac:dyDescent="0.25">
      <c r="A6886" s="3"/>
      <c r="F6886" s="19"/>
      <c r="G6886" s="19"/>
      <c r="N6886" s="19"/>
      <c r="P6886" s="19"/>
      <c r="AL6886" s="19"/>
    </row>
    <row r="6887" spans="1:38" s="11" customFormat="1" x14ac:dyDescent="0.25">
      <c r="A6887" s="3"/>
      <c r="F6887" s="19"/>
      <c r="G6887" s="19"/>
      <c r="N6887" s="19"/>
      <c r="P6887" s="19"/>
      <c r="AL6887" s="19"/>
    </row>
    <row r="6888" spans="1:38" s="11" customFormat="1" x14ac:dyDescent="0.25">
      <c r="A6888" s="3"/>
      <c r="F6888" s="19"/>
      <c r="G6888" s="19"/>
      <c r="N6888" s="19"/>
      <c r="P6888" s="19"/>
      <c r="AL6888" s="19"/>
    </row>
    <row r="6889" spans="1:38" s="11" customFormat="1" x14ac:dyDescent="0.25">
      <c r="A6889" s="3"/>
      <c r="F6889" s="19"/>
      <c r="G6889" s="19"/>
      <c r="N6889" s="19"/>
      <c r="P6889" s="19"/>
      <c r="AL6889" s="19"/>
    </row>
    <row r="6890" spans="1:38" s="11" customFormat="1" x14ac:dyDescent="0.25">
      <c r="A6890" s="3"/>
      <c r="F6890" s="19"/>
      <c r="G6890" s="19"/>
      <c r="N6890" s="19"/>
      <c r="P6890" s="19"/>
      <c r="AL6890" s="19"/>
    </row>
    <row r="6891" spans="1:38" s="11" customFormat="1" x14ac:dyDescent="0.25">
      <c r="A6891" s="3"/>
      <c r="F6891" s="19"/>
      <c r="G6891" s="19"/>
      <c r="N6891" s="19"/>
      <c r="P6891" s="19"/>
      <c r="AL6891" s="19"/>
    </row>
    <row r="6892" spans="1:38" s="11" customFormat="1" x14ac:dyDescent="0.25">
      <c r="A6892" s="3"/>
      <c r="F6892" s="19"/>
      <c r="G6892" s="19"/>
      <c r="N6892" s="19"/>
      <c r="P6892" s="19"/>
      <c r="AL6892" s="19"/>
    </row>
    <row r="6893" spans="1:38" s="11" customFormat="1" x14ac:dyDescent="0.25">
      <c r="A6893" s="3"/>
      <c r="F6893" s="19"/>
      <c r="G6893" s="19"/>
      <c r="N6893" s="19"/>
      <c r="P6893" s="19"/>
      <c r="AL6893" s="19"/>
    </row>
    <row r="6894" spans="1:38" s="11" customFormat="1" x14ac:dyDescent="0.25">
      <c r="A6894" s="3"/>
      <c r="F6894" s="19"/>
      <c r="G6894" s="19"/>
      <c r="N6894" s="19"/>
      <c r="P6894" s="19"/>
      <c r="AL6894" s="19"/>
    </row>
    <row r="6895" spans="1:38" s="11" customFormat="1" x14ac:dyDescent="0.25">
      <c r="A6895" s="3"/>
      <c r="F6895" s="19"/>
      <c r="G6895" s="19"/>
      <c r="N6895" s="19"/>
      <c r="P6895" s="19"/>
      <c r="AL6895" s="19"/>
    </row>
    <row r="6896" spans="1:38" s="11" customFormat="1" x14ac:dyDescent="0.25">
      <c r="A6896" s="3"/>
      <c r="F6896" s="19"/>
      <c r="G6896" s="19"/>
      <c r="N6896" s="19"/>
      <c r="P6896" s="19"/>
      <c r="AL6896" s="19"/>
    </row>
    <row r="6897" spans="1:38" s="11" customFormat="1" x14ac:dyDescent="0.25">
      <c r="A6897" s="3"/>
      <c r="F6897" s="19"/>
      <c r="G6897" s="19"/>
      <c r="N6897" s="19"/>
      <c r="P6897" s="19"/>
      <c r="AL6897" s="19"/>
    </row>
    <row r="6898" spans="1:38" s="11" customFormat="1" x14ac:dyDescent="0.25">
      <c r="A6898" s="3"/>
      <c r="F6898" s="19"/>
      <c r="G6898" s="19"/>
      <c r="N6898" s="19"/>
      <c r="P6898" s="19"/>
      <c r="AL6898" s="19"/>
    </row>
    <row r="6899" spans="1:38" s="11" customFormat="1" x14ac:dyDescent="0.25">
      <c r="A6899" s="3"/>
      <c r="F6899" s="19"/>
      <c r="G6899" s="19"/>
      <c r="N6899" s="19"/>
      <c r="P6899" s="19"/>
      <c r="AL6899" s="19"/>
    </row>
    <row r="6900" spans="1:38" s="11" customFormat="1" x14ac:dyDescent="0.25">
      <c r="A6900" s="3"/>
      <c r="F6900" s="19"/>
      <c r="G6900" s="19"/>
      <c r="N6900" s="19"/>
      <c r="P6900" s="19"/>
      <c r="AL6900" s="19"/>
    </row>
    <row r="6901" spans="1:38" s="11" customFormat="1" x14ac:dyDescent="0.25">
      <c r="A6901" s="3"/>
      <c r="F6901" s="19"/>
      <c r="G6901" s="19"/>
      <c r="N6901" s="19"/>
      <c r="P6901" s="19"/>
      <c r="AL6901" s="19"/>
    </row>
    <row r="6902" spans="1:38" s="11" customFormat="1" x14ac:dyDescent="0.25">
      <c r="A6902" s="3"/>
      <c r="F6902" s="19"/>
      <c r="G6902" s="19"/>
      <c r="N6902" s="19"/>
      <c r="P6902" s="19"/>
      <c r="AL6902" s="19"/>
    </row>
    <row r="6903" spans="1:38" s="11" customFormat="1" x14ac:dyDescent="0.25">
      <c r="A6903" s="3"/>
      <c r="F6903" s="19"/>
      <c r="G6903" s="19"/>
      <c r="N6903" s="19"/>
      <c r="P6903" s="19"/>
      <c r="AL6903" s="19"/>
    </row>
    <row r="6904" spans="1:38" s="11" customFormat="1" x14ac:dyDescent="0.25">
      <c r="A6904" s="3"/>
      <c r="F6904" s="19"/>
      <c r="G6904" s="19"/>
      <c r="N6904" s="19"/>
      <c r="P6904" s="19"/>
      <c r="AL6904" s="19"/>
    </row>
    <row r="6905" spans="1:38" s="11" customFormat="1" x14ac:dyDescent="0.25">
      <c r="A6905" s="3"/>
      <c r="F6905" s="19"/>
      <c r="G6905" s="19"/>
      <c r="N6905" s="19"/>
      <c r="P6905" s="19"/>
      <c r="AL6905" s="19"/>
    </row>
    <row r="6906" spans="1:38" s="11" customFormat="1" x14ac:dyDescent="0.25">
      <c r="A6906" s="3"/>
      <c r="F6906" s="19"/>
      <c r="G6906" s="19"/>
      <c r="N6906" s="19"/>
      <c r="P6906" s="19"/>
      <c r="AL6906" s="19"/>
    </row>
    <row r="6907" spans="1:38" s="11" customFormat="1" x14ac:dyDescent="0.25">
      <c r="A6907" s="3"/>
      <c r="F6907" s="19"/>
      <c r="G6907" s="19"/>
      <c r="N6907" s="19"/>
      <c r="P6907" s="19"/>
      <c r="AL6907" s="19"/>
    </row>
    <row r="6908" spans="1:38" s="11" customFormat="1" x14ac:dyDescent="0.25">
      <c r="A6908" s="3"/>
      <c r="F6908" s="19"/>
      <c r="G6908" s="19"/>
      <c r="N6908" s="19"/>
      <c r="P6908" s="19"/>
      <c r="AL6908" s="19"/>
    </row>
    <row r="6909" spans="1:38" s="11" customFormat="1" x14ac:dyDescent="0.25">
      <c r="A6909" s="3"/>
      <c r="F6909" s="19"/>
      <c r="G6909" s="19"/>
      <c r="N6909" s="19"/>
      <c r="P6909" s="19"/>
      <c r="AL6909" s="19"/>
    </row>
    <row r="6910" spans="1:38" s="11" customFormat="1" x14ac:dyDescent="0.25">
      <c r="A6910" s="3"/>
      <c r="F6910" s="19"/>
      <c r="G6910" s="19"/>
      <c r="N6910" s="19"/>
      <c r="P6910" s="19"/>
      <c r="AL6910" s="19"/>
    </row>
    <row r="6911" spans="1:38" s="11" customFormat="1" x14ac:dyDescent="0.25">
      <c r="A6911" s="3"/>
      <c r="F6911" s="19"/>
      <c r="G6911" s="19"/>
      <c r="N6911" s="19"/>
      <c r="P6911" s="19"/>
      <c r="AL6911" s="19"/>
    </row>
    <row r="6912" spans="1:38" s="11" customFormat="1" x14ac:dyDescent="0.25">
      <c r="A6912" s="3"/>
      <c r="F6912" s="19"/>
      <c r="G6912" s="19"/>
      <c r="N6912" s="19"/>
      <c r="P6912" s="19"/>
      <c r="AL6912" s="19"/>
    </row>
    <row r="6913" spans="1:38" s="11" customFormat="1" x14ac:dyDescent="0.25">
      <c r="A6913" s="3"/>
      <c r="F6913" s="19"/>
      <c r="G6913" s="19"/>
      <c r="N6913" s="19"/>
      <c r="P6913" s="19"/>
      <c r="AL6913" s="19"/>
    </row>
    <row r="6914" spans="1:38" s="11" customFormat="1" x14ac:dyDescent="0.25">
      <c r="A6914" s="3"/>
      <c r="F6914" s="19"/>
      <c r="G6914" s="19"/>
      <c r="N6914" s="19"/>
      <c r="P6914" s="19"/>
      <c r="AL6914" s="19"/>
    </row>
    <row r="6915" spans="1:38" s="11" customFormat="1" x14ac:dyDescent="0.25">
      <c r="A6915" s="3"/>
      <c r="F6915" s="19"/>
      <c r="G6915" s="19"/>
      <c r="N6915" s="19"/>
      <c r="P6915" s="19"/>
      <c r="AL6915" s="19"/>
    </row>
    <row r="6916" spans="1:38" s="11" customFormat="1" x14ac:dyDescent="0.25">
      <c r="A6916" s="3"/>
      <c r="F6916" s="19"/>
      <c r="G6916" s="19"/>
      <c r="N6916" s="19"/>
      <c r="P6916" s="19"/>
      <c r="AL6916" s="19"/>
    </row>
    <row r="6917" spans="1:38" s="11" customFormat="1" x14ac:dyDescent="0.25">
      <c r="A6917" s="3"/>
      <c r="F6917" s="19"/>
      <c r="G6917" s="19"/>
      <c r="N6917" s="19"/>
      <c r="P6917" s="19"/>
      <c r="AL6917" s="19"/>
    </row>
    <row r="6918" spans="1:38" s="11" customFormat="1" x14ac:dyDescent="0.25">
      <c r="A6918" s="3"/>
      <c r="F6918" s="19"/>
      <c r="G6918" s="19"/>
      <c r="N6918" s="19"/>
      <c r="P6918" s="19"/>
      <c r="AL6918" s="19"/>
    </row>
    <row r="6919" spans="1:38" s="11" customFormat="1" x14ac:dyDescent="0.25">
      <c r="A6919" s="3"/>
      <c r="F6919" s="19"/>
      <c r="G6919" s="19"/>
      <c r="N6919" s="19"/>
      <c r="P6919" s="19"/>
      <c r="AL6919" s="19"/>
    </row>
    <row r="6920" spans="1:38" s="11" customFormat="1" x14ac:dyDescent="0.25">
      <c r="A6920" s="3"/>
      <c r="F6920" s="19"/>
      <c r="G6920" s="19"/>
      <c r="N6920" s="19"/>
      <c r="P6920" s="19"/>
      <c r="AL6920" s="19"/>
    </row>
    <row r="6921" spans="1:38" s="11" customFormat="1" x14ac:dyDescent="0.25">
      <c r="A6921" s="3"/>
      <c r="F6921" s="19"/>
      <c r="G6921" s="19"/>
      <c r="N6921" s="19"/>
      <c r="P6921" s="19"/>
      <c r="AL6921" s="19"/>
    </row>
    <row r="6922" spans="1:38" s="11" customFormat="1" x14ac:dyDescent="0.25">
      <c r="A6922" s="3"/>
      <c r="F6922" s="19"/>
      <c r="G6922" s="19"/>
      <c r="N6922" s="19"/>
      <c r="P6922" s="19"/>
      <c r="AL6922" s="19"/>
    </row>
    <row r="6923" spans="1:38" s="11" customFormat="1" x14ac:dyDescent="0.25">
      <c r="A6923" s="3"/>
      <c r="F6923" s="19"/>
      <c r="G6923" s="19"/>
      <c r="N6923" s="19"/>
      <c r="P6923" s="19"/>
      <c r="AL6923" s="19"/>
    </row>
    <row r="6924" spans="1:38" s="11" customFormat="1" x14ac:dyDescent="0.25">
      <c r="A6924" s="3"/>
      <c r="F6924" s="19"/>
      <c r="G6924" s="19"/>
      <c r="N6924" s="19"/>
      <c r="P6924" s="19"/>
      <c r="AL6924" s="19"/>
    </row>
    <row r="6925" spans="1:38" s="11" customFormat="1" x14ac:dyDescent="0.25">
      <c r="A6925" s="3"/>
      <c r="F6925" s="19"/>
      <c r="G6925" s="19"/>
      <c r="N6925" s="19"/>
      <c r="P6925" s="19"/>
      <c r="AL6925" s="19"/>
    </row>
    <row r="6926" spans="1:38" s="11" customFormat="1" x14ac:dyDescent="0.25">
      <c r="A6926" s="3"/>
      <c r="F6926" s="19"/>
      <c r="G6926" s="19"/>
      <c r="N6926" s="19"/>
      <c r="P6926" s="19"/>
      <c r="AL6926" s="19"/>
    </row>
    <row r="6927" spans="1:38" s="11" customFormat="1" x14ac:dyDescent="0.25">
      <c r="A6927" s="3"/>
      <c r="F6927" s="19"/>
      <c r="G6927" s="19"/>
      <c r="N6927" s="19"/>
      <c r="P6927" s="19"/>
      <c r="AL6927" s="19"/>
    </row>
    <row r="6928" spans="1:38" s="11" customFormat="1" x14ac:dyDescent="0.25">
      <c r="A6928" s="3"/>
      <c r="F6928" s="19"/>
      <c r="G6928" s="19"/>
      <c r="N6928" s="19"/>
      <c r="P6928" s="19"/>
      <c r="AL6928" s="19"/>
    </row>
    <row r="6929" spans="1:38" s="11" customFormat="1" x14ac:dyDescent="0.25">
      <c r="A6929" s="3"/>
      <c r="F6929" s="19"/>
      <c r="G6929" s="19"/>
      <c r="N6929" s="19"/>
      <c r="P6929" s="19"/>
      <c r="AL6929" s="19"/>
    </row>
    <row r="6930" spans="1:38" s="11" customFormat="1" x14ac:dyDescent="0.25">
      <c r="A6930" s="3"/>
      <c r="F6930" s="19"/>
      <c r="G6930" s="19"/>
      <c r="N6930" s="19"/>
      <c r="P6930" s="19"/>
      <c r="AL6930" s="19"/>
    </row>
    <row r="6931" spans="1:38" s="11" customFormat="1" x14ac:dyDescent="0.25">
      <c r="A6931" s="3"/>
      <c r="F6931" s="19"/>
      <c r="G6931" s="19"/>
      <c r="N6931" s="19"/>
      <c r="P6931" s="19"/>
      <c r="AL6931" s="19"/>
    </row>
    <row r="6932" spans="1:38" s="11" customFormat="1" x14ac:dyDescent="0.25">
      <c r="A6932" s="3"/>
      <c r="F6932" s="19"/>
      <c r="G6932" s="19"/>
      <c r="N6932" s="19"/>
      <c r="P6932" s="19"/>
      <c r="AL6932" s="19"/>
    </row>
    <row r="6933" spans="1:38" s="11" customFormat="1" x14ac:dyDescent="0.25">
      <c r="A6933" s="3"/>
      <c r="F6933" s="19"/>
      <c r="G6933" s="19"/>
      <c r="N6933" s="19"/>
      <c r="P6933" s="19"/>
      <c r="AL6933" s="19"/>
    </row>
    <row r="6934" spans="1:38" s="11" customFormat="1" x14ac:dyDescent="0.25">
      <c r="A6934" s="3"/>
      <c r="F6934" s="19"/>
      <c r="G6934" s="19"/>
      <c r="N6934" s="19"/>
      <c r="P6934" s="19"/>
      <c r="AL6934" s="19"/>
    </row>
    <row r="6935" spans="1:38" s="11" customFormat="1" x14ac:dyDescent="0.25">
      <c r="A6935" s="3"/>
      <c r="F6935" s="19"/>
      <c r="G6935" s="19"/>
      <c r="N6935" s="19"/>
      <c r="P6935" s="19"/>
      <c r="AL6935" s="19"/>
    </row>
    <row r="6936" spans="1:38" s="11" customFormat="1" x14ac:dyDescent="0.25">
      <c r="A6936" s="3"/>
      <c r="F6936" s="19"/>
      <c r="G6936" s="19"/>
      <c r="N6936" s="19"/>
      <c r="P6936" s="19"/>
      <c r="AL6936" s="19"/>
    </row>
    <row r="6937" spans="1:38" s="11" customFormat="1" x14ac:dyDescent="0.25">
      <c r="A6937" s="3"/>
      <c r="F6937" s="19"/>
      <c r="G6937" s="19"/>
      <c r="N6937" s="19"/>
      <c r="P6937" s="19"/>
      <c r="AL6937" s="19"/>
    </row>
    <row r="6938" spans="1:38" s="11" customFormat="1" x14ac:dyDescent="0.25">
      <c r="A6938" s="3"/>
      <c r="F6938" s="19"/>
      <c r="G6938" s="19"/>
      <c r="N6938" s="19"/>
      <c r="P6938" s="19"/>
      <c r="AL6938" s="19"/>
    </row>
    <row r="6939" spans="1:38" s="11" customFormat="1" x14ac:dyDescent="0.25">
      <c r="A6939" s="3"/>
      <c r="F6939" s="19"/>
      <c r="G6939" s="19"/>
      <c r="N6939" s="19"/>
      <c r="P6939" s="19"/>
      <c r="AL6939" s="19"/>
    </row>
    <row r="6940" spans="1:38" s="11" customFormat="1" x14ac:dyDescent="0.25">
      <c r="A6940" s="3"/>
      <c r="F6940" s="19"/>
      <c r="G6940" s="19"/>
      <c r="N6940" s="19"/>
      <c r="P6940" s="19"/>
      <c r="AL6940" s="19"/>
    </row>
    <row r="6941" spans="1:38" s="11" customFormat="1" x14ac:dyDescent="0.25">
      <c r="A6941" s="3"/>
      <c r="F6941" s="19"/>
      <c r="G6941" s="19"/>
      <c r="N6941" s="19"/>
      <c r="P6941" s="19"/>
      <c r="AL6941" s="19"/>
    </row>
    <row r="6942" spans="1:38" s="11" customFormat="1" x14ac:dyDescent="0.25">
      <c r="A6942" s="3"/>
      <c r="F6942" s="19"/>
      <c r="G6942" s="19"/>
      <c r="N6942" s="19"/>
      <c r="P6942" s="19"/>
      <c r="AL6942" s="19"/>
    </row>
    <row r="6943" spans="1:38" s="11" customFormat="1" x14ac:dyDescent="0.25">
      <c r="A6943" s="3"/>
      <c r="F6943" s="19"/>
      <c r="G6943" s="19"/>
      <c r="N6943" s="19"/>
      <c r="P6943" s="19"/>
      <c r="AL6943" s="19"/>
    </row>
    <row r="6944" spans="1:38" s="11" customFormat="1" x14ac:dyDescent="0.25">
      <c r="A6944" s="3"/>
      <c r="F6944" s="19"/>
      <c r="G6944" s="19"/>
      <c r="N6944" s="19"/>
      <c r="P6944" s="19"/>
      <c r="AL6944" s="19"/>
    </row>
    <row r="6945" spans="1:38" s="11" customFormat="1" x14ac:dyDescent="0.25">
      <c r="A6945" s="3"/>
      <c r="F6945" s="19"/>
      <c r="G6945" s="19"/>
      <c r="N6945" s="19"/>
      <c r="P6945" s="19"/>
      <c r="AL6945" s="19"/>
    </row>
    <row r="6946" spans="1:38" s="11" customFormat="1" x14ac:dyDescent="0.25">
      <c r="A6946" s="3"/>
      <c r="F6946" s="19"/>
      <c r="G6946" s="19"/>
      <c r="N6946" s="19"/>
      <c r="P6946" s="19"/>
      <c r="AL6946" s="19"/>
    </row>
    <row r="6947" spans="1:38" s="11" customFormat="1" x14ac:dyDescent="0.25">
      <c r="A6947" s="3"/>
      <c r="F6947" s="19"/>
      <c r="G6947" s="19"/>
      <c r="N6947" s="19"/>
      <c r="P6947" s="19"/>
      <c r="AL6947" s="19"/>
    </row>
    <row r="6948" spans="1:38" s="11" customFormat="1" x14ac:dyDescent="0.25">
      <c r="A6948" s="3"/>
      <c r="F6948" s="19"/>
      <c r="G6948" s="19"/>
      <c r="N6948" s="19"/>
      <c r="P6948" s="19"/>
      <c r="AL6948" s="19"/>
    </row>
    <row r="6949" spans="1:38" s="11" customFormat="1" x14ac:dyDescent="0.25">
      <c r="A6949" s="3"/>
      <c r="F6949" s="19"/>
      <c r="G6949" s="19"/>
      <c r="N6949" s="19"/>
      <c r="P6949" s="19"/>
      <c r="AL6949" s="19"/>
    </row>
    <row r="6950" spans="1:38" s="11" customFormat="1" x14ac:dyDescent="0.25">
      <c r="A6950" s="3"/>
      <c r="F6950" s="19"/>
      <c r="G6950" s="19"/>
      <c r="N6950" s="19"/>
      <c r="P6950" s="19"/>
      <c r="AL6950" s="19"/>
    </row>
    <row r="6951" spans="1:38" s="11" customFormat="1" x14ac:dyDescent="0.25">
      <c r="A6951" s="3"/>
      <c r="F6951" s="19"/>
      <c r="G6951" s="19"/>
      <c r="N6951" s="19"/>
      <c r="P6951" s="19"/>
      <c r="AL6951" s="19"/>
    </row>
    <row r="6952" spans="1:38" s="11" customFormat="1" x14ac:dyDescent="0.25">
      <c r="A6952" s="3"/>
      <c r="F6952" s="19"/>
      <c r="G6952" s="19"/>
      <c r="N6952" s="19"/>
      <c r="P6952" s="19"/>
      <c r="AL6952" s="19"/>
    </row>
    <row r="6953" spans="1:38" s="11" customFormat="1" x14ac:dyDescent="0.25">
      <c r="A6953" s="3"/>
      <c r="F6953" s="19"/>
      <c r="G6953" s="19"/>
      <c r="N6953" s="19"/>
      <c r="P6953" s="19"/>
      <c r="AL6953" s="19"/>
    </row>
    <row r="6954" spans="1:38" s="11" customFormat="1" x14ac:dyDescent="0.25">
      <c r="A6954" s="3"/>
      <c r="F6954" s="19"/>
      <c r="G6954" s="19"/>
      <c r="N6954" s="19"/>
      <c r="P6954" s="19"/>
      <c r="AL6954" s="19"/>
    </row>
    <row r="6955" spans="1:38" s="11" customFormat="1" x14ac:dyDescent="0.25">
      <c r="A6955" s="3"/>
      <c r="F6955" s="19"/>
      <c r="G6955" s="19"/>
      <c r="N6955" s="19"/>
      <c r="P6955" s="19"/>
      <c r="AL6955" s="19"/>
    </row>
    <row r="6956" spans="1:38" s="11" customFormat="1" x14ac:dyDescent="0.25">
      <c r="A6956" s="3"/>
      <c r="F6956" s="19"/>
      <c r="G6956" s="19"/>
      <c r="N6956" s="19"/>
      <c r="P6956" s="19"/>
      <c r="AL6956" s="19"/>
    </row>
    <row r="6957" spans="1:38" s="11" customFormat="1" x14ac:dyDescent="0.25">
      <c r="A6957" s="3"/>
      <c r="F6957" s="19"/>
      <c r="G6957" s="19"/>
      <c r="N6957" s="19"/>
      <c r="P6957" s="19"/>
      <c r="AL6957" s="19"/>
    </row>
    <row r="6958" spans="1:38" s="11" customFormat="1" x14ac:dyDescent="0.25">
      <c r="A6958" s="3"/>
      <c r="F6958" s="19"/>
      <c r="G6958" s="19"/>
      <c r="N6958" s="19"/>
      <c r="P6958" s="19"/>
      <c r="AL6958" s="19"/>
    </row>
    <row r="6959" spans="1:38" s="11" customFormat="1" x14ac:dyDescent="0.25">
      <c r="A6959" s="3"/>
      <c r="F6959" s="19"/>
      <c r="G6959" s="19"/>
      <c r="N6959" s="19"/>
      <c r="P6959" s="19"/>
      <c r="AL6959" s="19"/>
    </row>
    <row r="6960" spans="1:38" s="11" customFormat="1" x14ac:dyDescent="0.25">
      <c r="A6960" s="3"/>
      <c r="F6960" s="19"/>
      <c r="G6960" s="19"/>
      <c r="N6960" s="19"/>
      <c r="P6960" s="19"/>
      <c r="AL6960" s="19"/>
    </row>
    <row r="6961" spans="1:38" s="11" customFormat="1" x14ac:dyDescent="0.25">
      <c r="A6961" s="3"/>
      <c r="F6961" s="19"/>
      <c r="G6961" s="19"/>
      <c r="N6961" s="19"/>
      <c r="P6961" s="19"/>
      <c r="AL6961" s="19"/>
    </row>
    <row r="6962" spans="1:38" s="11" customFormat="1" x14ac:dyDescent="0.25">
      <c r="A6962" s="3"/>
      <c r="F6962" s="19"/>
      <c r="G6962" s="19"/>
      <c r="N6962" s="19"/>
      <c r="P6962" s="19"/>
      <c r="AL6962" s="19"/>
    </row>
    <row r="6963" spans="1:38" s="11" customFormat="1" x14ac:dyDescent="0.25">
      <c r="A6963" s="3"/>
      <c r="F6963" s="19"/>
      <c r="G6963" s="19"/>
      <c r="N6963" s="19"/>
      <c r="P6963" s="19"/>
      <c r="AL6963" s="19"/>
    </row>
    <row r="6964" spans="1:38" s="11" customFormat="1" x14ac:dyDescent="0.25">
      <c r="A6964" s="3"/>
      <c r="F6964" s="19"/>
      <c r="G6964" s="19"/>
      <c r="N6964" s="19"/>
      <c r="P6964" s="19"/>
      <c r="AL6964" s="19"/>
    </row>
    <row r="6965" spans="1:38" s="11" customFormat="1" x14ac:dyDescent="0.25">
      <c r="A6965" s="3"/>
      <c r="F6965" s="19"/>
      <c r="G6965" s="19"/>
      <c r="N6965" s="19"/>
      <c r="P6965" s="19"/>
      <c r="AL6965" s="19"/>
    </row>
    <row r="6966" spans="1:38" s="11" customFormat="1" x14ac:dyDescent="0.25">
      <c r="A6966" s="3"/>
      <c r="F6966" s="19"/>
      <c r="G6966" s="19"/>
      <c r="N6966" s="19"/>
      <c r="P6966" s="19"/>
      <c r="AL6966" s="19"/>
    </row>
    <row r="6967" spans="1:38" s="11" customFormat="1" x14ac:dyDescent="0.25">
      <c r="A6967" s="3"/>
      <c r="F6967" s="19"/>
      <c r="G6967" s="19"/>
      <c r="N6967" s="19"/>
      <c r="P6967" s="19"/>
      <c r="AL6967" s="19"/>
    </row>
    <row r="6968" spans="1:38" s="11" customFormat="1" x14ac:dyDescent="0.25">
      <c r="A6968" s="3"/>
      <c r="F6968" s="19"/>
      <c r="G6968" s="19"/>
      <c r="N6968" s="19"/>
      <c r="P6968" s="19"/>
      <c r="AL6968" s="19"/>
    </row>
    <row r="6969" spans="1:38" s="11" customFormat="1" x14ac:dyDescent="0.25">
      <c r="A6969" s="3"/>
      <c r="F6969" s="19"/>
      <c r="G6969" s="19"/>
      <c r="N6969" s="19"/>
      <c r="P6969" s="19"/>
      <c r="AL6969" s="19"/>
    </row>
    <row r="6970" spans="1:38" s="11" customFormat="1" x14ac:dyDescent="0.25">
      <c r="A6970" s="3"/>
      <c r="F6970" s="19"/>
      <c r="G6970" s="19"/>
      <c r="N6970" s="19"/>
      <c r="P6970" s="19"/>
      <c r="AL6970" s="19"/>
    </row>
    <row r="6971" spans="1:38" s="11" customFormat="1" x14ac:dyDescent="0.25">
      <c r="A6971" s="3"/>
      <c r="F6971" s="19"/>
      <c r="G6971" s="19"/>
      <c r="N6971" s="19"/>
      <c r="P6971" s="19"/>
      <c r="AL6971" s="19"/>
    </row>
    <row r="6972" spans="1:38" s="11" customFormat="1" x14ac:dyDescent="0.25">
      <c r="A6972" s="3"/>
      <c r="F6972" s="19"/>
      <c r="G6972" s="19"/>
      <c r="N6972" s="19"/>
      <c r="P6972" s="19"/>
      <c r="AL6972" s="19"/>
    </row>
    <row r="6973" spans="1:38" s="11" customFormat="1" x14ac:dyDescent="0.25">
      <c r="A6973" s="3"/>
      <c r="F6973" s="19"/>
      <c r="G6973" s="19"/>
      <c r="N6973" s="19"/>
      <c r="P6973" s="19"/>
      <c r="AL6973" s="19"/>
    </row>
    <row r="6974" spans="1:38" s="11" customFormat="1" x14ac:dyDescent="0.25">
      <c r="A6974" s="3"/>
      <c r="F6974" s="19"/>
      <c r="G6974" s="19"/>
      <c r="N6974" s="19"/>
      <c r="P6974" s="19"/>
      <c r="AL6974" s="19"/>
    </row>
    <row r="6975" spans="1:38" s="11" customFormat="1" x14ac:dyDescent="0.25">
      <c r="A6975" s="3"/>
      <c r="F6975" s="19"/>
      <c r="G6975" s="19"/>
      <c r="N6975" s="19"/>
      <c r="P6975" s="19"/>
      <c r="AL6975" s="19"/>
    </row>
    <row r="6976" spans="1:38" s="11" customFormat="1" x14ac:dyDescent="0.25">
      <c r="A6976" s="3"/>
      <c r="F6976" s="19"/>
      <c r="G6976" s="19"/>
      <c r="N6976" s="19"/>
      <c r="P6976" s="19"/>
      <c r="AL6976" s="19"/>
    </row>
    <row r="6977" spans="1:38" s="11" customFormat="1" x14ac:dyDescent="0.25">
      <c r="A6977" s="3"/>
      <c r="F6977" s="19"/>
      <c r="G6977" s="19"/>
      <c r="N6977" s="19"/>
      <c r="P6977" s="19"/>
      <c r="AL6977" s="19"/>
    </row>
    <row r="6978" spans="1:38" s="11" customFormat="1" x14ac:dyDescent="0.25">
      <c r="A6978" s="3"/>
      <c r="F6978" s="19"/>
      <c r="G6978" s="19"/>
      <c r="N6978" s="19"/>
      <c r="P6978" s="19"/>
      <c r="AL6978" s="19"/>
    </row>
    <row r="6979" spans="1:38" s="11" customFormat="1" x14ac:dyDescent="0.25">
      <c r="A6979" s="3"/>
      <c r="F6979" s="19"/>
      <c r="G6979" s="19"/>
      <c r="N6979" s="19"/>
      <c r="P6979" s="19"/>
      <c r="AL6979" s="19"/>
    </row>
    <row r="6980" spans="1:38" s="11" customFormat="1" x14ac:dyDescent="0.25">
      <c r="A6980" s="3"/>
      <c r="F6980" s="19"/>
      <c r="G6980" s="19"/>
      <c r="N6980" s="19"/>
      <c r="P6980" s="19"/>
      <c r="AL6980" s="19"/>
    </row>
    <row r="6981" spans="1:38" s="11" customFormat="1" x14ac:dyDescent="0.25">
      <c r="A6981" s="3"/>
      <c r="F6981" s="19"/>
      <c r="G6981" s="19"/>
      <c r="N6981" s="19"/>
      <c r="P6981" s="19"/>
      <c r="AL6981" s="19"/>
    </row>
    <row r="6982" spans="1:38" s="11" customFormat="1" x14ac:dyDescent="0.25">
      <c r="A6982" s="3"/>
      <c r="F6982" s="19"/>
      <c r="G6982" s="19"/>
      <c r="N6982" s="19"/>
      <c r="P6982" s="19"/>
      <c r="AL6982" s="19"/>
    </row>
    <row r="6983" spans="1:38" s="11" customFormat="1" x14ac:dyDescent="0.25">
      <c r="A6983" s="3"/>
      <c r="F6983" s="19"/>
      <c r="G6983" s="19"/>
      <c r="N6983" s="19"/>
      <c r="P6983" s="19"/>
      <c r="AL6983" s="19"/>
    </row>
    <row r="6984" spans="1:38" s="11" customFormat="1" x14ac:dyDescent="0.25">
      <c r="A6984" s="3"/>
      <c r="F6984" s="19"/>
      <c r="G6984" s="19"/>
      <c r="N6984" s="19"/>
      <c r="P6984" s="19"/>
      <c r="AL6984" s="19"/>
    </row>
    <row r="6985" spans="1:38" s="11" customFormat="1" x14ac:dyDescent="0.25">
      <c r="A6985" s="3"/>
      <c r="F6985" s="19"/>
      <c r="G6985" s="19"/>
      <c r="N6985" s="19"/>
      <c r="P6985" s="19"/>
      <c r="AL6985" s="19"/>
    </row>
    <row r="6986" spans="1:38" s="11" customFormat="1" x14ac:dyDescent="0.25">
      <c r="A6986" s="3"/>
      <c r="F6986" s="19"/>
      <c r="G6986" s="19"/>
      <c r="N6986" s="19"/>
      <c r="P6986" s="19"/>
      <c r="AL6986" s="19"/>
    </row>
    <row r="6987" spans="1:38" s="11" customFormat="1" x14ac:dyDescent="0.25">
      <c r="A6987" s="3"/>
      <c r="F6987" s="19"/>
      <c r="G6987" s="19"/>
      <c r="N6987" s="19"/>
      <c r="P6987" s="19"/>
      <c r="AL6987" s="19"/>
    </row>
    <row r="6988" spans="1:38" s="11" customFormat="1" x14ac:dyDescent="0.25">
      <c r="A6988" s="3"/>
      <c r="F6988" s="19"/>
      <c r="G6988" s="19"/>
      <c r="N6988" s="19"/>
      <c r="P6988" s="19"/>
      <c r="AL6988" s="19"/>
    </row>
    <row r="6989" spans="1:38" s="11" customFormat="1" x14ac:dyDescent="0.25">
      <c r="A6989" s="3"/>
      <c r="F6989" s="19"/>
      <c r="G6989" s="19"/>
      <c r="N6989" s="19"/>
      <c r="P6989" s="19"/>
      <c r="AL6989" s="19"/>
    </row>
    <row r="6990" spans="1:38" s="11" customFormat="1" x14ac:dyDescent="0.25">
      <c r="A6990" s="3"/>
      <c r="F6990" s="19"/>
      <c r="G6990" s="19"/>
      <c r="N6990" s="19"/>
      <c r="P6990" s="19"/>
      <c r="AL6990" s="19"/>
    </row>
    <row r="6991" spans="1:38" s="11" customFormat="1" x14ac:dyDescent="0.25">
      <c r="A6991" s="3"/>
      <c r="F6991" s="19"/>
      <c r="G6991" s="19"/>
      <c r="N6991" s="19"/>
      <c r="P6991" s="19"/>
      <c r="AL6991" s="19"/>
    </row>
    <row r="6992" spans="1:38" s="11" customFormat="1" x14ac:dyDescent="0.25">
      <c r="A6992" s="3"/>
      <c r="F6992" s="19"/>
      <c r="G6992" s="19"/>
      <c r="N6992" s="19"/>
      <c r="P6992" s="19"/>
      <c r="AL6992" s="19"/>
    </row>
    <row r="6993" spans="1:38" s="11" customFormat="1" x14ac:dyDescent="0.25">
      <c r="A6993" s="3"/>
      <c r="F6993" s="19"/>
      <c r="G6993" s="19"/>
      <c r="N6993" s="19"/>
      <c r="P6993" s="19"/>
      <c r="AL6993" s="19"/>
    </row>
    <row r="6994" spans="1:38" s="11" customFormat="1" x14ac:dyDescent="0.25">
      <c r="A6994" s="3"/>
      <c r="F6994" s="19"/>
      <c r="G6994" s="19"/>
      <c r="N6994" s="19"/>
      <c r="P6994" s="19"/>
      <c r="AL6994" s="19"/>
    </row>
    <row r="6995" spans="1:38" s="11" customFormat="1" x14ac:dyDescent="0.25">
      <c r="A6995" s="3"/>
      <c r="F6995" s="19"/>
      <c r="G6995" s="19"/>
      <c r="N6995" s="19"/>
      <c r="P6995" s="19"/>
      <c r="AL6995" s="19"/>
    </row>
    <row r="6996" spans="1:38" s="11" customFormat="1" x14ac:dyDescent="0.25">
      <c r="A6996" s="3"/>
      <c r="F6996" s="19"/>
      <c r="G6996" s="19"/>
      <c r="N6996" s="19"/>
      <c r="P6996" s="19"/>
      <c r="AL6996" s="19"/>
    </row>
    <row r="6997" spans="1:38" s="11" customFormat="1" x14ac:dyDescent="0.25">
      <c r="A6997" s="3"/>
      <c r="F6997" s="19"/>
      <c r="G6997" s="19"/>
      <c r="N6997" s="19"/>
      <c r="P6997" s="19"/>
      <c r="AL6997" s="19"/>
    </row>
    <row r="6998" spans="1:38" s="11" customFormat="1" x14ac:dyDescent="0.25">
      <c r="A6998" s="3"/>
      <c r="F6998" s="19"/>
      <c r="G6998" s="19"/>
      <c r="N6998" s="19"/>
      <c r="P6998" s="19"/>
      <c r="AL6998" s="19"/>
    </row>
    <row r="6999" spans="1:38" s="11" customFormat="1" x14ac:dyDescent="0.25">
      <c r="A6999" s="3"/>
      <c r="F6999" s="19"/>
      <c r="G6999" s="19"/>
      <c r="N6999" s="19"/>
      <c r="P6999" s="19"/>
      <c r="AL6999" s="19"/>
    </row>
    <row r="7000" spans="1:38" s="11" customFormat="1" x14ac:dyDescent="0.25">
      <c r="A7000" s="3"/>
      <c r="F7000" s="19"/>
      <c r="G7000" s="19"/>
      <c r="N7000" s="19"/>
      <c r="P7000" s="19"/>
      <c r="AL7000" s="19"/>
    </row>
    <row r="7001" spans="1:38" s="11" customFormat="1" x14ac:dyDescent="0.25">
      <c r="A7001" s="3"/>
      <c r="F7001" s="19"/>
      <c r="G7001" s="19"/>
      <c r="N7001" s="19"/>
      <c r="P7001" s="19"/>
      <c r="AL7001" s="19"/>
    </row>
    <row r="7002" spans="1:38" s="11" customFormat="1" x14ac:dyDescent="0.25">
      <c r="A7002" s="3"/>
      <c r="F7002" s="19"/>
      <c r="G7002" s="19"/>
      <c r="N7002" s="19"/>
      <c r="P7002" s="19"/>
      <c r="AL7002" s="19"/>
    </row>
    <row r="7003" spans="1:38" s="11" customFormat="1" x14ac:dyDescent="0.25">
      <c r="A7003" s="3"/>
      <c r="F7003" s="19"/>
      <c r="G7003" s="19"/>
      <c r="N7003" s="19"/>
      <c r="P7003" s="19"/>
      <c r="AL7003" s="19"/>
    </row>
    <row r="7004" spans="1:38" s="11" customFormat="1" x14ac:dyDescent="0.25">
      <c r="A7004" s="3"/>
      <c r="F7004" s="19"/>
      <c r="G7004" s="19"/>
      <c r="N7004" s="19"/>
      <c r="P7004" s="19"/>
      <c r="AL7004" s="19"/>
    </row>
    <row r="7005" spans="1:38" s="11" customFormat="1" x14ac:dyDescent="0.25">
      <c r="A7005" s="3"/>
      <c r="F7005" s="19"/>
      <c r="G7005" s="19"/>
      <c r="N7005" s="19"/>
      <c r="P7005" s="19"/>
      <c r="AL7005" s="19"/>
    </row>
    <row r="7006" spans="1:38" s="11" customFormat="1" x14ac:dyDescent="0.25">
      <c r="A7006" s="3"/>
      <c r="F7006" s="19"/>
      <c r="G7006" s="19"/>
      <c r="N7006" s="19"/>
      <c r="P7006" s="19"/>
      <c r="AL7006" s="19"/>
    </row>
    <row r="7007" spans="1:38" s="11" customFormat="1" x14ac:dyDescent="0.25">
      <c r="A7007" s="3"/>
      <c r="F7007" s="19"/>
      <c r="G7007" s="19"/>
      <c r="N7007" s="19"/>
      <c r="P7007" s="19"/>
      <c r="AL7007" s="19"/>
    </row>
    <row r="7008" spans="1:38" s="11" customFormat="1" x14ac:dyDescent="0.25">
      <c r="A7008" s="3"/>
      <c r="F7008" s="19"/>
      <c r="G7008" s="19"/>
      <c r="N7008" s="19"/>
      <c r="P7008" s="19"/>
      <c r="AL7008" s="19"/>
    </row>
    <row r="7009" spans="1:38" s="11" customFormat="1" x14ac:dyDescent="0.25">
      <c r="A7009" s="3"/>
      <c r="F7009" s="19"/>
      <c r="G7009" s="19"/>
      <c r="N7009" s="19"/>
      <c r="P7009" s="19"/>
      <c r="AL7009" s="19"/>
    </row>
    <row r="7010" spans="1:38" s="11" customFormat="1" x14ac:dyDescent="0.25">
      <c r="A7010" s="3"/>
      <c r="F7010" s="19"/>
      <c r="G7010" s="19"/>
      <c r="N7010" s="19"/>
      <c r="P7010" s="19"/>
      <c r="AL7010" s="19"/>
    </row>
    <row r="7011" spans="1:38" s="11" customFormat="1" x14ac:dyDescent="0.25">
      <c r="A7011" s="3"/>
      <c r="F7011" s="19"/>
      <c r="G7011" s="19"/>
      <c r="N7011" s="19"/>
      <c r="P7011" s="19"/>
      <c r="AL7011" s="19"/>
    </row>
    <row r="7012" spans="1:38" s="11" customFormat="1" x14ac:dyDescent="0.25">
      <c r="A7012" s="3"/>
      <c r="F7012" s="19"/>
      <c r="G7012" s="19"/>
      <c r="N7012" s="19"/>
      <c r="P7012" s="19"/>
      <c r="AL7012" s="19"/>
    </row>
    <row r="7013" spans="1:38" s="11" customFormat="1" x14ac:dyDescent="0.25">
      <c r="A7013" s="3"/>
      <c r="F7013" s="19"/>
      <c r="G7013" s="19"/>
      <c r="N7013" s="19"/>
      <c r="P7013" s="19"/>
      <c r="AL7013" s="19"/>
    </row>
    <row r="7014" spans="1:38" s="11" customFormat="1" x14ac:dyDescent="0.25">
      <c r="A7014" s="3"/>
      <c r="F7014" s="19"/>
      <c r="G7014" s="19"/>
      <c r="N7014" s="19"/>
      <c r="P7014" s="19"/>
      <c r="AL7014" s="19"/>
    </row>
    <row r="7015" spans="1:38" s="11" customFormat="1" x14ac:dyDescent="0.25">
      <c r="A7015" s="3"/>
      <c r="F7015" s="19"/>
      <c r="G7015" s="19"/>
      <c r="N7015" s="19"/>
      <c r="P7015" s="19"/>
      <c r="AL7015" s="19"/>
    </row>
    <row r="7016" spans="1:38" s="11" customFormat="1" x14ac:dyDescent="0.25">
      <c r="A7016" s="3"/>
      <c r="F7016" s="19"/>
      <c r="G7016" s="19"/>
      <c r="N7016" s="19"/>
      <c r="P7016" s="19"/>
      <c r="AL7016" s="19"/>
    </row>
    <row r="7017" spans="1:38" s="11" customFormat="1" x14ac:dyDescent="0.25">
      <c r="A7017" s="3"/>
      <c r="F7017" s="19"/>
      <c r="G7017" s="19"/>
      <c r="N7017" s="19"/>
      <c r="P7017" s="19"/>
      <c r="AL7017" s="19"/>
    </row>
    <row r="7018" spans="1:38" s="11" customFormat="1" x14ac:dyDescent="0.25">
      <c r="A7018" s="3"/>
      <c r="F7018" s="19"/>
      <c r="G7018" s="19"/>
      <c r="N7018" s="19"/>
      <c r="P7018" s="19"/>
      <c r="AL7018" s="19"/>
    </row>
    <row r="7019" spans="1:38" s="11" customFormat="1" x14ac:dyDescent="0.25">
      <c r="A7019" s="3"/>
      <c r="F7019" s="19"/>
      <c r="G7019" s="19"/>
      <c r="N7019" s="19"/>
      <c r="P7019" s="19"/>
      <c r="AL7019" s="19"/>
    </row>
    <row r="7020" spans="1:38" s="11" customFormat="1" x14ac:dyDescent="0.25">
      <c r="A7020" s="3"/>
      <c r="F7020" s="19"/>
      <c r="G7020" s="19"/>
      <c r="N7020" s="19"/>
      <c r="P7020" s="19"/>
      <c r="AL7020" s="19"/>
    </row>
    <row r="7021" spans="1:38" s="11" customFormat="1" x14ac:dyDescent="0.25">
      <c r="A7021" s="3"/>
      <c r="F7021" s="19"/>
      <c r="G7021" s="19"/>
      <c r="N7021" s="19"/>
      <c r="P7021" s="19"/>
      <c r="AL7021" s="19"/>
    </row>
    <row r="7022" spans="1:38" s="11" customFormat="1" x14ac:dyDescent="0.25">
      <c r="A7022" s="3"/>
      <c r="F7022" s="19"/>
      <c r="G7022" s="19"/>
      <c r="N7022" s="19"/>
      <c r="P7022" s="19"/>
      <c r="AL7022" s="19"/>
    </row>
    <row r="7023" spans="1:38" s="11" customFormat="1" x14ac:dyDescent="0.25">
      <c r="A7023" s="3"/>
      <c r="F7023" s="19"/>
      <c r="G7023" s="19"/>
      <c r="N7023" s="19"/>
      <c r="P7023" s="19"/>
      <c r="AL7023" s="19"/>
    </row>
    <row r="7024" spans="1:38" s="11" customFormat="1" x14ac:dyDescent="0.25">
      <c r="A7024" s="3"/>
      <c r="F7024" s="19"/>
      <c r="G7024" s="19"/>
      <c r="N7024" s="19"/>
      <c r="P7024" s="19"/>
      <c r="AL7024" s="19"/>
    </row>
    <row r="7025" spans="1:38" s="11" customFormat="1" x14ac:dyDescent="0.25">
      <c r="A7025" s="3"/>
      <c r="F7025" s="19"/>
      <c r="G7025" s="19"/>
      <c r="N7025" s="19"/>
      <c r="P7025" s="19"/>
      <c r="AL7025" s="19"/>
    </row>
    <row r="7026" spans="1:38" s="11" customFormat="1" x14ac:dyDescent="0.25">
      <c r="A7026" s="3"/>
      <c r="F7026" s="19"/>
      <c r="G7026" s="19"/>
      <c r="N7026" s="19"/>
      <c r="P7026" s="19"/>
      <c r="AL7026" s="19"/>
    </row>
    <row r="7027" spans="1:38" s="11" customFormat="1" x14ac:dyDescent="0.25">
      <c r="A7027" s="3"/>
      <c r="F7027" s="19"/>
      <c r="G7027" s="19"/>
      <c r="N7027" s="19"/>
      <c r="P7027" s="19"/>
      <c r="AL7027" s="19"/>
    </row>
    <row r="7028" spans="1:38" s="11" customFormat="1" x14ac:dyDescent="0.25">
      <c r="A7028" s="3"/>
      <c r="F7028" s="19"/>
      <c r="G7028" s="19"/>
      <c r="N7028" s="19"/>
      <c r="P7028" s="19"/>
      <c r="AL7028" s="19"/>
    </row>
    <row r="7029" spans="1:38" s="11" customFormat="1" x14ac:dyDescent="0.25">
      <c r="A7029" s="3"/>
      <c r="F7029" s="19"/>
      <c r="G7029" s="19"/>
      <c r="N7029" s="19"/>
      <c r="P7029" s="19"/>
      <c r="AL7029" s="19"/>
    </row>
    <row r="7030" spans="1:38" s="11" customFormat="1" x14ac:dyDescent="0.25">
      <c r="A7030" s="3"/>
      <c r="F7030" s="19"/>
      <c r="G7030" s="19"/>
      <c r="N7030" s="19"/>
      <c r="P7030" s="19"/>
      <c r="AL7030" s="19"/>
    </row>
    <row r="7031" spans="1:38" s="11" customFormat="1" x14ac:dyDescent="0.25">
      <c r="A7031" s="3"/>
      <c r="F7031" s="19"/>
      <c r="G7031" s="19"/>
      <c r="N7031" s="19"/>
      <c r="P7031" s="19"/>
      <c r="AL7031" s="19"/>
    </row>
    <row r="7032" spans="1:38" s="11" customFormat="1" x14ac:dyDescent="0.25">
      <c r="A7032" s="3"/>
      <c r="F7032" s="19"/>
      <c r="G7032" s="19"/>
      <c r="N7032" s="19"/>
      <c r="P7032" s="19"/>
      <c r="AL7032" s="19"/>
    </row>
    <row r="7033" spans="1:38" s="11" customFormat="1" x14ac:dyDescent="0.25">
      <c r="A7033" s="3"/>
      <c r="F7033" s="19"/>
      <c r="G7033" s="19"/>
      <c r="N7033" s="19"/>
      <c r="P7033" s="19"/>
      <c r="AL7033" s="19"/>
    </row>
    <row r="7034" spans="1:38" s="11" customFormat="1" x14ac:dyDescent="0.25">
      <c r="A7034" s="3"/>
      <c r="F7034" s="19"/>
      <c r="G7034" s="19"/>
      <c r="N7034" s="19"/>
      <c r="P7034" s="19"/>
      <c r="AL7034" s="19"/>
    </row>
    <row r="7035" spans="1:38" s="11" customFormat="1" x14ac:dyDescent="0.25">
      <c r="A7035" s="3"/>
      <c r="F7035" s="19"/>
      <c r="G7035" s="19"/>
      <c r="N7035" s="19"/>
      <c r="P7035" s="19"/>
      <c r="AL7035" s="19"/>
    </row>
    <row r="7036" spans="1:38" s="11" customFormat="1" x14ac:dyDescent="0.25">
      <c r="A7036" s="3"/>
      <c r="F7036" s="19"/>
      <c r="G7036" s="19"/>
      <c r="N7036" s="19"/>
      <c r="P7036" s="19"/>
      <c r="AL7036" s="19"/>
    </row>
    <row r="7037" spans="1:38" s="11" customFormat="1" x14ac:dyDescent="0.25">
      <c r="A7037" s="3"/>
      <c r="F7037" s="19"/>
      <c r="G7037" s="19"/>
      <c r="N7037" s="19"/>
      <c r="P7037" s="19"/>
      <c r="AL7037" s="19"/>
    </row>
    <row r="7038" spans="1:38" s="11" customFormat="1" x14ac:dyDescent="0.25">
      <c r="A7038" s="3"/>
      <c r="F7038" s="19"/>
      <c r="G7038" s="19"/>
      <c r="N7038" s="19"/>
      <c r="P7038" s="19"/>
      <c r="AL7038" s="19"/>
    </row>
    <row r="7039" spans="1:38" s="11" customFormat="1" x14ac:dyDescent="0.25">
      <c r="A7039" s="3"/>
      <c r="F7039" s="19"/>
      <c r="G7039" s="19"/>
      <c r="N7039" s="19"/>
      <c r="P7039" s="19"/>
      <c r="AL7039" s="19"/>
    </row>
    <row r="7040" spans="1:38" s="11" customFormat="1" x14ac:dyDescent="0.25">
      <c r="A7040" s="3"/>
      <c r="F7040" s="19"/>
      <c r="G7040" s="19"/>
      <c r="N7040" s="19"/>
      <c r="P7040" s="19"/>
      <c r="AL7040" s="19"/>
    </row>
    <row r="7041" spans="1:38" s="11" customFormat="1" x14ac:dyDescent="0.25">
      <c r="A7041" s="3"/>
      <c r="F7041" s="19"/>
      <c r="G7041" s="19"/>
      <c r="N7041" s="19"/>
      <c r="P7041" s="19"/>
      <c r="AL7041" s="19"/>
    </row>
    <row r="7042" spans="1:38" s="11" customFormat="1" x14ac:dyDescent="0.25">
      <c r="A7042" s="3"/>
      <c r="F7042" s="19"/>
      <c r="G7042" s="19"/>
      <c r="N7042" s="19"/>
      <c r="P7042" s="19"/>
      <c r="AL7042" s="19"/>
    </row>
    <row r="7043" spans="1:38" s="11" customFormat="1" x14ac:dyDescent="0.25">
      <c r="A7043" s="3"/>
      <c r="F7043" s="19"/>
      <c r="G7043" s="19"/>
      <c r="N7043" s="19"/>
      <c r="P7043" s="19"/>
      <c r="AL7043" s="19"/>
    </row>
    <row r="7044" spans="1:38" s="11" customFormat="1" x14ac:dyDescent="0.25">
      <c r="A7044" s="3"/>
      <c r="F7044" s="19"/>
      <c r="G7044" s="19"/>
      <c r="N7044" s="19"/>
      <c r="P7044" s="19"/>
      <c r="AL7044" s="19"/>
    </row>
    <row r="7045" spans="1:38" s="11" customFormat="1" x14ac:dyDescent="0.25">
      <c r="A7045" s="3"/>
      <c r="F7045" s="19"/>
      <c r="G7045" s="19"/>
      <c r="N7045" s="19"/>
      <c r="P7045" s="19"/>
      <c r="AL7045" s="19"/>
    </row>
    <row r="7046" spans="1:38" s="11" customFormat="1" x14ac:dyDescent="0.25">
      <c r="A7046" s="3"/>
      <c r="F7046" s="19"/>
      <c r="G7046" s="19"/>
      <c r="N7046" s="19"/>
      <c r="P7046" s="19"/>
      <c r="AL7046" s="19"/>
    </row>
    <row r="7047" spans="1:38" s="11" customFormat="1" x14ac:dyDescent="0.25">
      <c r="A7047" s="3"/>
      <c r="F7047" s="19"/>
      <c r="G7047" s="19"/>
      <c r="N7047" s="19"/>
      <c r="P7047" s="19"/>
      <c r="AL7047" s="19"/>
    </row>
    <row r="7048" spans="1:38" s="11" customFormat="1" x14ac:dyDescent="0.25">
      <c r="A7048" s="3"/>
      <c r="F7048" s="19"/>
      <c r="G7048" s="19"/>
      <c r="N7048" s="19"/>
      <c r="P7048" s="19"/>
      <c r="AL7048" s="19"/>
    </row>
    <row r="7049" spans="1:38" s="11" customFormat="1" x14ac:dyDescent="0.25">
      <c r="A7049" s="3"/>
      <c r="F7049" s="19"/>
      <c r="G7049" s="19"/>
      <c r="N7049" s="19"/>
      <c r="P7049" s="19"/>
      <c r="AL7049" s="19"/>
    </row>
    <row r="7050" spans="1:38" s="11" customFormat="1" x14ac:dyDescent="0.25">
      <c r="A7050" s="3"/>
      <c r="F7050" s="19"/>
      <c r="G7050" s="19"/>
      <c r="N7050" s="19"/>
      <c r="P7050" s="19"/>
      <c r="AL7050" s="19"/>
    </row>
    <row r="7051" spans="1:38" s="11" customFormat="1" x14ac:dyDescent="0.25">
      <c r="A7051" s="3"/>
      <c r="F7051" s="19"/>
      <c r="G7051" s="19"/>
      <c r="N7051" s="19"/>
      <c r="P7051" s="19"/>
      <c r="AL7051" s="19"/>
    </row>
    <row r="7052" spans="1:38" s="11" customFormat="1" x14ac:dyDescent="0.25">
      <c r="A7052" s="3"/>
      <c r="F7052" s="19"/>
      <c r="G7052" s="19"/>
      <c r="N7052" s="19"/>
      <c r="P7052" s="19"/>
      <c r="AL7052" s="19"/>
    </row>
    <row r="7053" spans="1:38" s="11" customFormat="1" x14ac:dyDescent="0.25">
      <c r="A7053" s="3"/>
      <c r="F7053" s="19"/>
      <c r="G7053" s="19"/>
      <c r="N7053" s="19"/>
      <c r="P7053" s="19"/>
      <c r="AL7053" s="19"/>
    </row>
    <row r="7054" spans="1:38" s="11" customFormat="1" x14ac:dyDescent="0.25">
      <c r="A7054" s="3"/>
      <c r="F7054" s="19"/>
      <c r="G7054" s="19"/>
      <c r="N7054" s="19"/>
      <c r="P7054" s="19"/>
      <c r="AL7054" s="19"/>
    </row>
    <row r="7055" spans="1:38" s="11" customFormat="1" x14ac:dyDescent="0.25">
      <c r="A7055" s="3"/>
      <c r="F7055" s="19"/>
      <c r="G7055" s="19"/>
      <c r="N7055" s="19"/>
      <c r="P7055" s="19"/>
      <c r="AL7055" s="19"/>
    </row>
    <row r="7056" spans="1:38" s="11" customFormat="1" x14ac:dyDescent="0.25">
      <c r="A7056" s="3"/>
      <c r="F7056" s="19"/>
      <c r="G7056" s="19"/>
      <c r="N7056" s="19"/>
      <c r="P7056" s="19"/>
      <c r="AL7056" s="19"/>
    </row>
    <row r="7057" spans="1:38" s="11" customFormat="1" x14ac:dyDescent="0.25">
      <c r="A7057" s="3"/>
      <c r="F7057" s="19"/>
      <c r="G7057" s="19"/>
      <c r="N7057" s="19"/>
      <c r="P7057" s="19"/>
      <c r="AL7057" s="19"/>
    </row>
    <row r="7058" spans="1:38" s="11" customFormat="1" x14ac:dyDescent="0.25">
      <c r="A7058" s="3"/>
      <c r="F7058" s="19"/>
      <c r="G7058" s="19"/>
      <c r="N7058" s="19"/>
      <c r="P7058" s="19"/>
      <c r="AL7058" s="19"/>
    </row>
    <row r="7059" spans="1:38" s="11" customFormat="1" x14ac:dyDescent="0.25">
      <c r="A7059" s="3"/>
      <c r="F7059" s="19"/>
      <c r="G7059" s="19"/>
      <c r="N7059" s="19"/>
      <c r="P7059" s="19"/>
      <c r="AL7059" s="19"/>
    </row>
    <row r="7060" spans="1:38" s="11" customFormat="1" x14ac:dyDescent="0.25">
      <c r="A7060" s="3"/>
      <c r="F7060" s="19"/>
      <c r="G7060" s="19"/>
      <c r="N7060" s="19"/>
      <c r="P7060" s="19"/>
      <c r="AL7060" s="19"/>
    </row>
    <row r="7061" spans="1:38" s="11" customFormat="1" x14ac:dyDescent="0.25">
      <c r="A7061" s="3"/>
      <c r="F7061" s="19"/>
      <c r="G7061" s="19"/>
      <c r="N7061" s="19"/>
      <c r="P7061" s="19"/>
      <c r="AL7061" s="19"/>
    </row>
    <row r="7062" spans="1:38" s="11" customFormat="1" x14ac:dyDescent="0.25">
      <c r="A7062" s="3"/>
      <c r="F7062" s="19"/>
      <c r="G7062" s="19"/>
      <c r="N7062" s="19"/>
      <c r="P7062" s="19"/>
      <c r="AL7062" s="19"/>
    </row>
    <row r="7063" spans="1:38" s="11" customFormat="1" x14ac:dyDescent="0.25">
      <c r="A7063" s="3"/>
      <c r="F7063" s="19"/>
      <c r="G7063" s="19"/>
      <c r="N7063" s="19"/>
      <c r="P7063" s="19"/>
      <c r="AL7063" s="19"/>
    </row>
    <row r="7064" spans="1:38" s="11" customFormat="1" x14ac:dyDescent="0.25">
      <c r="A7064" s="3"/>
      <c r="F7064" s="19"/>
      <c r="G7064" s="19"/>
      <c r="N7064" s="19"/>
      <c r="P7064" s="19"/>
      <c r="AL7064" s="19"/>
    </row>
    <row r="7065" spans="1:38" s="11" customFormat="1" x14ac:dyDescent="0.25">
      <c r="A7065" s="3"/>
      <c r="F7065" s="19"/>
      <c r="G7065" s="19"/>
      <c r="N7065" s="19"/>
      <c r="P7065" s="19"/>
      <c r="AL7065" s="19"/>
    </row>
    <row r="7066" spans="1:38" s="11" customFormat="1" x14ac:dyDescent="0.25">
      <c r="A7066" s="3"/>
      <c r="F7066" s="19"/>
      <c r="G7066" s="19"/>
      <c r="N7066" s="19"/>
      <c r="P7066" s="19"/>
      <c r="AL7066" s="19"/>
    </row>
    <row r="7067" spans="1:38" s="11" customFormat="1" x14ac:dyDescent="0.25">
      <c r="A7067" s="3"/>
      <c r="F7067" s="19"/>
      <c r="G7067" s="19"/>
      <c r="N7067" s="19"/>
      <c r="P7067" s="19"/>
      <c r="AL7067" s="19"/>
    </row>
    <row r="7068" spans="1:38" s="11" customFormat="1" x14ac:dyDescent="0.25">
      <c r="A7068" s="3"/>
      <c r="F7068" s="19"/>
      <c r="G7068" s="19"/>
      <c r="N7068" s="19"/>
      <c r="P7068" s="19"/>
      <c r="AL7068" s="19"/>
    </row>
    <row r="7069" spans="1:38" s="11" customFormat="1" x14ac:dyDescent="0.25">
      <c r="A7069" s="3"/>
      <c r="F7069" s="19"/>
      <c r="G7069" s="19"/>
      <c r="N7069" s="19"/>
      <c r="P7069" s="19"/>
      <c r="AL7069" s="19"/>
    </row>
    <row r="7070" spans="1:38" s="11" customFormat="1" x14ac:dyDescent="0.25">
      <c r="A7070" s="3"/>
      <c r="F7070" s="19"/>
      <c r="G7070" s="19"/>
      <c r="N7070" s="19"/>
      <c r="P7070" s="19"/>
      <c r="AL7070" s="19"/>
    </row>
    <row r="7071" spans="1:38" s="11" customFormat="1" x14ac:dyDescent="0.25">
      <c r="A7071" s="3"/>
      <c r="F7071" s="19"/>
      <c r="G7071" s="19"/>
      <c r="N7071" s="19"/>
      <c r="P7071" s="19"/>
      <c r="AL7071" s="19"/>
    </row>
    <row r="7072" spans="1:38" s="11" customFormat="1" x14ac:dyDescent="0.25">
      <c r="A7072" s="3"/>
      <c r="F7072" s="19"/>
      <c r="G7072" s="19"/>
      <c r="N7072" s="19"/>
      <c r="P7072" s="19"/>
      <c r="AL7072" s="19"/>
    </row>
    <row r="7073" spans="1:38" s="11" customFormat="1" x14ac:dyDescent="0.25">
      <c r="A7073" s="3"/>
      <c r="F7073" s="19"/>
      <c r="G7073" s="19"/>
      <c r="N7073" s="19"/>
      <c r="P7073" s="19"/>
      <c r="AL7073" s="19"/>
    </row>
    <row r="7074" spans="1:38" s="11" customFormat="1" x14ac:dyDescent="0.25">
      <c r="A7074" s="3"/>
      <c r="F7074" s="19"/>
      <c r="G7074" s="19"/>
      <c r="N7074" s="19"/>
      <c r="P7074" s="19"/>
      <c r="AL7074" s="19"/>
    </row>
    <row r="7075" spans="1:38" s="11" customFormat="1" x14ac:dyDescent="0.25">
      <c r="A7075" s="3"/>
      <c r="F7075" s="19"/>
      <c r="G7075" s="19"/>
      <c r="N7075" s="19"/>
      <c r="P7075" s="19"/>
      <c r="AL7075" s="19"/>
    </row>
    <row r="7076" spans="1:38" s="11" customFormat="1" x14ac:dyDescent="0.25">
      <c r="A7076" s="3"/>
      <c r="F7076" s="19"/>
      <c r="G7076" s="19"/>
      <c r="N7076" s="19"/>
      <c r="P7076" s="19"/>
      <c r="AL7076" s="19"/>
    </row>
    <row r="7077" spans="1:38" s="11" customFormat="1" x14ac:dyDescent="0.25">
      <c r="A7077" s="3"/>
      <c r="F7077" s="19"/>
      <c r="G7077" s="19"/>
      <c r="N7077" s="19"/>
      <c r="P7077" s="19"/>
      <c r="AL7077" s="19"/>
    </row>
    <row r="7078" spans="1:38" s="11" customFormat="1" x14ac:dyDescent="0.25">
      <c r="A7078" s="3"/>
      <c r="F7078" s="19"/>
      <c r="G7078" s="19"/>
      <c r="N7078" s="19"/>
      <c r="P7078" s="19"/>
      <c r="AL7078" s="19"/>
    </row>
    <row r="7079" spans="1:38" s="11" customFormat="1" x14ac:dyDescent="0.25">
      <c r="A7079" s="3"/>
      <c r="F7079" s="19"/>
      <c r="G7079" s="19"/>
      <c r="N7079" s="19"/>
      <c r="P7079" s="19"/>
      <c r="AL7079" s="19"/>
    </row>
    <row r="7080" spans="1:38" s="11" customFormat="1" x14ac:dyDescent="0.25">
      <c r="A7080" s="3"/>
      <c r="F7080" s="19"/>
      <c r="G7080" s="19"/>
      <c r="N7080" s="19"/>
      <c r="P7080" s="19"/>
      <c r="AL7080" s="19"/>
    </row>
    <row r="7081" spans="1:38" s="11" customFormat="1" x14ac:dyDescent="0.25">
      <c r="A7081" s="3"/>
      <c r="F7081" s="19"/>
      <c r="G7081" s="19"/>
      <c r="N7081" s="19"/>
      <c r="P7081" s="19"/>
      <c r="AL7081" s="19"/>
    </row>
    <row r="7082" spans="1:38" s="11" customFormat="1" x14ac:dyDescent="0.25">
      <c r="A7082" s="3"/>
      <c r="F7082" s="19"/>
      <c r="G7082" s="19"/>
      <c r="N7082" s="19"/>
      <c r="P7082" s="19"/>
      <c r="AL7082" s="19"/>
    </row>
    <row r="7083" spans="1:38" s="11" customFormat="1" x14ac:dyDescent="0.25">
      <c r="A7083" s="3"/>
      <c r="F7083" s="19"/>
      <c r="G7083" s="19"/>
      <c r="N7083" s="19"/>
      <c r="P7083" s="19"/>
      <c r="AL7083" s="19"/>
    </row>
    <row r="7084" spans="1:38" s="11" customFormat="1" x14ac:dyDescent="0.25">
      <c r="A7084" s="3"/>
      <c r="F7084" s="19"/>
      <c r="G7084" s="19"/>
      <c r="N7084" s="19"/>
      <c r="P7084" s="19"/>
      <c r="AL7084" s="19"/>
    </row>
    <row r="7085" spans="1:38" s="11" customFormat="1" x14ac:dyDescent="0.25">
      <c r="A7085" s="3"/>
      <c r="F7085" s="19"/>
      <c r="G7085" s="19"/>
      <c r="N7085" s="19"/>
      <c r="P7085" s="19"/>
      <c r="AL7085" s="19"/>
    </row>
    <row r="7086" spans="1:38" s="11" customFormat="1" x14ac:dyDescent="0.25">
      <c r="A7086" s="3"/>
      <c r="F7086" s="19"/>
      <c r="G7086" s="19"/>
      <c r="N7086" s="19"/>
      <c r="P7086" s="19"/>
      <c r="AL7086" s="19"/>
    </row>
    <row r="7087" spans="1:38" s="11" customFormat="1" x14ac:dyDescent="0.25">
      <c r="A7087" s="3"/>
      <c r="F7087" s="19"/>
      <c r="G7087" s="19"/>
      <c r="N7087" s="19"/>
      <c r="P7087" s="19"/>
      <c r="AL7087" s="19"/>
    </row>
    <row r="7088" spans="1:38" s="11" customFormat="1" x14ac:dyDescent="0.25">
      <c r="A7088" s="3"/>
      <c r="F7088" s="19"/>
      <c r="G7088" s="19"/>
      <c r="N7088" s="19"/>
      <c r="P7088" s="19"/>
      <c r="AL7088" s="19"/>
    </row>
    <row r="7089" spans="1:38" s="11" customFormat="1" x14ac:dyDescent="0.25">
      <c r="A7089" s="3"/>
      <c r="F7089" s="19"/>
      <c r="G7089" s="19"/>
      <c r="N7089" s="19"/>
      <c r="P7089" s="19"/>
      <c r="AL7089" s="19"/>
    </row>
    <row r="7090" spans="1:38" s="11" customFormat="1" x14ac:dyDescent="0.25">
      <c r="A7090" s="3"/>
      <c r="F7090" s="19"/>
      <c r="G7090" s="19"/>
      <c r="N7090" s="19"/>
      <c r="P7090" s="19"/>
      <c r="AL7090" s="19"/>
    </row>
    <row r="7091" spans="1:38" s="11" customFormat="1" x14ac:dyDescent="0.25">
      <c r="A7091" s="3"/>
      <c r="F7091" s="19"/>
      <c r="G7091" s="19"/>
      <c r="N7091" s="19"/>
      <c r="P7091" s="19"/>
      <c r="AL7091" s="19"/>
    </row>
    <row r="7092" spans="1:38" s="11" customFormat="1" x14ac:dyDescent="0.25">
      <c r="A7092" s="3"/>
      <c r="F7092" s="19"/>
      <c r="G7092" s="19"/>
      <c r="N7092" s="19"/>
      <c r="P7092" s="19"/>
      <c r="AL7092" s="19"/>
    </row>
    <row r="7093" spans="1:38" s="11" customFormat="1" x14ac:dyDescent="0.25">
      <c r="A7093" s="3"/>
      <c r="F7093" s="19"/>
      <c r="G7093" s="19"/>
      <c r="N7093" s="19"/>
      <c r="P7093" s="19"/>
      <c r="AL7093" s="19"/>
    </row>
    <row r="7094" spans="1:38" s="11" customFormat="1" x14ac:dyDescent="0.25">
      <c r="A7094" s="3"/>
      <c r="F7094" s="19"/>
      <c r="G7094" s="19"/>
      <c r="N7094" s="19"/>
      <c r="P7094" s="19"/>
      <c r="AL7094" s="19"/>
    </row>
    <row r="7095" spans="1:38" s="11" customFormat="1" x14ac:dyDescent="0.25">
      <c r="A7095" s="3"/>
      <c r="F7095" s="19"/>
      <c r="G7095" s="19"/>
      <c r="N7095" s="19"/>
      <c r="P7095" s="19"/>
      <c r="AL7095" s="19"/>
    </row>
    <row r="7096" spans="1:38" s="11" customFormat="1" x14ac:dyDescent="0.25">
      <c r="A7096" s="3"/>
      <c r="F7096" s="19"/>
      <c r="G7096" s="19"/>
      <c r="N7096" s="19"/>
      <c r="P7096" s="19"/>
      <c r="AL7096" s="19"/>
    </row>
    <row r="7097" spans="1:38" s="11" customFormat="1" x14ac:dyDescent="0.25">
      <c r="A7097" s="3"/>
      <c r="F7097" s="19"/>
      <c r="G7097" s="19"/>
      <c r="N7097" s="19"/>
      <c r="P7097" s="19"/>
      <c r="AL7097" s="19"/>
    </row>
    <row r="7098" spans="1:38" s="11" customFormat="1" x14ac:dyDescent="0.25">
      <c r="A7098" s="3"/>
      <c r="F7098" s="19"/>
      <c r="G7098" s="19"/>
      <c r="N7098" s="19"/>
      <c r="P7098" s="19"/>
      <c r="AL7098" s="19"/>
    </row>
    <row r="7099" spans="1:38" s="11" customFormat="1" x14ac:dyDescent="0.25">
      <c r="A7099" s="3"/>
      <c r="F7099" s="19"/>
      <c r="G7099" s="19"/>
      <c r="N7099" s="19"/>
      <c r="P7099" s="19"/>
      <c r="AL7099" s="19"/>
    </row>
    <row r="7100" spans="1:38" s="11" customFormat="1" x14ac:dyDescent="0.25">
      <c r="A7100" s="3"/>
      <c r="F7100" s="19"/>
      <c r="G7100" s="19"/>
      <c r="N7100" s="19"/>
      <c r="P7100" s="19"/>
      <c r="AL7100" s="19"/>
    </row>
    <row r="7101" spans="1:38" s="11" customFormat="1" x14ac:dyDescent="0.25">
      <c r="A7101" s="3"/>
      <c r="F7101" s="19"/>
      <c r="G7101" s="19"/>
      <c r="N7101" s="19"/>
      <c r="P7101" s="19"/>
      <c r="AL7101" s="19"/>
    </row>
    <row r="7102" spans="1:38" s="11" customFormat="1" x14ac:dyDescent="0.25">
      <c r="A7102" s="3"/>
      <c r="F7102" s="19"/>
      <c r="G7102" s="19"/>
      <c r="N7102" s="19"/>
      <c r="P7102" s="19"/>
      <c r="AL7102" s="19"/>
    </row>
    <row r="7103" spans="1:38" s="11" customFormat="1" x14ac:dyDescent="0.25">
      <c r="A7103" s="3"/>
      <c r="F7103" s="19"/>
      <c r="G7103" s="19"/>
      <c r="N7103" s="19"/>
      <c r="P7103" s="19"/>
      <c r="AL7103" s="19"/>
    </row>
    <row r="7104" spans="1:38" s="11" customFormat="1" x14ac:dyDescent="0.25">
      <c r="A7104" s="3"/>
      <c r="F7104" s="19"/>
      <c r="G7104" s="19"/>
      <c r="N7104" s="19"/>
      <c r="P7104" s="19"/>
      <c r="AL7104" s="19"/>
    </row>
    <row r="7105" spans="1:38" s="11" customFormat="1" x14ac:dyDescent="0.25">
      <c r="A7105" s="3"/>
      <c r="F7105" s="19"/>
      <c r="G7105" s="19"/>
      <c r="N7105" s="19"/>
      <c r="P7105" s="19"/>
      <c r="AL7105" s="19"/>
    </row>
    <row r="7106" spans="1:38" s="11" customFormat="1" x14ac:dyDescent="0.25">
      <c r="A7106" s="3"/>
      <c r="F7106" s="19"/>
      <c r="G7106" s="19"/>
      <c r="N7106" s="19"/>
      <c r="P7106" s="19"/>
      <c r="AL7106" s="19"/>
    </row>
    <row r="7107" spans="1:38" s="11" customFormat="1" x14ac:dyDescent="0.25">
      <c r="A7107" s="3"/>
      <c r="F7107" s="19"/>
      <c r="G7107" s="19"/>
      <c r="N7107" s="19"/>
      <c r="P7107" s="19"/>
      <c r="AL7107" s="19"/>
    </row>
    <row r="7108" spans="1:38" s="11" customFormat="1" x14ac:dyDescent="0.25">
      <c r="A7108" s="3"/>
      <c r="F7108" s="19"/>
      <c r="G7108" s="19"/>
      <c r="N7108" s="19"/>
      <c r="P7108" s="19"/>
      <c r="AL7108" s="19"/>
    </row>
    <row r="7109" spans="1:38" s="11" customFormat="1" x14ac:dyDescent="0.25">
      <c r="A7109" s="3"/>
      <c r="F7109" s="19"/>
      <c r="G7109" s="19"/>
      <c r="N7109" s="19"/>
      <c r="P7109" s="19"/>
      <c r="AL7109" s="19"/>
    </row>
    <row r="7110" spans="1:38" s="11" customFormat="1" x14ac:dyDescent="0.25">
      <c r="A7110" s="3"/>
      <c r="F7110" s="19"/>
      <c r="G7110" s="19"/>
      <c r="N7110" s="19"/>
      <c r="P7110" s="19"/>
      <c r="AL7110" s="19"/>
    </row>
    <row r="7111" spans="1:38" s="11" customFormat="1" x14ac:dyDescent="0.25">
      <c r="A7111" s="3"/>
      <c r="F7111" s="19"/>
      <c r="G7111" s="19"/>
      <c r="N7111" s="19"/>
      <c r="P7111" s="19"/>
      <c r="AL7111" s="19"/>
    </row>
    <row r="7112" spans="1:38" s="11" customFormat="1" x14ac:dyDescent="0.25">
      <c r="A7112" s="3"/>
      <c r="F7112" s="19"/>
      <c r="G7112" s="19"/>
      <c r="N7112" s="19"/>
      <c r="P7112" s="19"/>
      <c r="AL7112" s="19"/>
    </row>
    <row r="7113" spans="1:38" s="11" customFormat="1" x14ac:dyDescent="0.25">
      <c r="A7113" s="3"/>
      <c r="F7113" s="19"/>
      <c r="G7113" s="19"/>
      <c r="N7113" s="19"/>
      <c r="P7113" s="19"/>
      <c r="AL7113" s="19"/>
    </row>
    <row r="7114" spans="1:38" s="11" customFormat="1" x14ac:dyDescent="0.25">
      <c r="A7114" s="3"/>
      <c r="F7114" s="19"/>
      <c r="G7114" s="19"/>
      <c r="N7114" s="19"/>
      <c r="P7114" s="19"/>
      <c r="AL7114" s="19"/>
    </row>
    <row r="7115" spans="1:38" s="11" customFormat="1" x14ac:dyDescent="0.25">
      <c r="A7115" s="3"/>
      <c r="F7115" s="19"/>
      <c r="G7115" s="19"/>
      <c r="N7115" s="19"/>
      <c r="P7115" s="19"/>
      <c r="AL7115" s="19"/>
    </row>
    <row r="7116" spans="1:38" s="11" customFormat="1" x14ac:dyDescent="0.25">
      <c r="A7116" s="3"/>
      <c r="F7116" s="19"/>
      <c r="G7116" s="19"/>
      <c r="N7116" s="19"/>
      <c r="P7116" s="19"/>
      <c r="AL7116" s="19"/>
    </row>
    <row r="7117" spans="1:38" s="11" customFormat="1" x14ac:dyDescent="0.25">
      <c r="A7117" s="3"/>
      <c r="F7117" s="19"/>
      <c r="G7117" s="19"/>
      <c r="N7117" s="19"/>
      <c r="P7117" s="19"/>
      <c r="AL7117" s="19"/>
    </row>
    <row r="7118" spans="1:38" s="11" customFormat="1" x14ac:dyDescent="0.25">
      <c r="A7118" s="3"/>
      <c r="F7118" s="19"/>
      <c r="G7118" s="19"/>
      <c r="N7118" s="19"/>
      <c r="P7118" s="19"/>
      <c r="AL7118" s="19"/>
    </row>
    <row r="7119" spans="1:38" s="11" customFormat="1" x14ac:dyDescent="0.25">
      <c r="A7119" s="3"/>
      <c r="F7119" s="19"/>
      <c r="G7119" s="19"/>
      <c r="N7119" s="19"/>
      <c r="P7119" s="19"/>
      <c r="AL7119" s="19"/>
    </row>
    <row r="7120" spans="1:38" s="11" customFormat="1" x14ac:dyDescent="0.25">
      <c r="A7120" s="3"/>
      <c r="F7120" s="19"/>
      <c r="G7120" s="19"/>
      <c r="N7120" s="19"/>
      <c r="P7120" s="19"/>
      <c r="AL7120" s="19"/>
    </row>
    <row r="7121" spans="1:38" s="11" customFormat="1" x14ac:dyDescent="0.25">
      <c r="A7121" s="3"/>
      <c r="F7121" s="19"/>
      <c r="G7121" s="19"/>
      <c r="N7121" s="19"/>
      <c r="P7121" s="19"/>
      <c r="AL7121" s="19"/>
    </row>
    <row r="7122" spans="1:38" s="11" customFormat="1" x14ac:dyDescent="0.25">
      <c r="A7122" s="3"/>
      <c r="F7122" s="19"/>
      <c r="G7122" s="19"/>
      <c r="N7122" s="19"/>
      <c r="P7122" s="19"/>
      <c r="AL7122" s="19"/>
    </row>
    <row r="7123" spans="1:38" s="11" customFormat="1" x14ac:dyDescent="0.25">
      <c r="A7123" s="3"/>
      <c r="F7123" s="19"/>
      <c r="G7123" s="19"/>
      <c r="N7123" s="19"/>
      <c r="P7123" s="19"/>
      <c r="AL7123" s="19"/>
    </row>
    <row r="7124" spans="1:38" s="11" customFormat="1" x14ac:dyDescent="0.25">
      <c r="A7124" s="3"/>
      <c r="F7124" s="19"/>
      <c r="G7124" s="19"/>
      <c r="N7124" s="19"/>
      <c r="P7124" s="19"/>
      <c r="AL7124" s="19"/>
    </row>
    <row r="7125" spans="1:38" s="11" customFormat="1" x14ac:dyDescent="0.25">
      <c r="A7125" s="3"/>
      <c r="F7125" s="19"/>
      <c r="G7125" s="19"/>
      <c r="N7125" s="19"/>
      <c r="P7125" s="19"/>
      <c r="AL7125" s="19"/>
    </row>
    <row r="7126" spans="1:38" s="11" customFormat="1" x14ac:dyDescent="0.25">
      <c r="A7126" s="3"/>
      <c r="F7126" s="19"/>
      <c r="G7126" s="19"/>
      <c r="N7126" s="19"/>
      <c r="P7126" s="19"/>
      <c r="AL7126" s="19"/>
    </row>
    <row r="7127" spans="1:38" s="11" customFormat="1" x14ac:dyDescent="0.25">
      <c r="A7127" s="3"/>
      <c r="F7127" s="19"/>
      <c r="G7127" s="19"/>
      <c r="N7127" s="19"/>
      <c r="P7127" s="19"/>
      <c r="AL7127" s="19"/>
    </row>
    <row r="7128" spans="1:38" s="11" customFormat="1" x14ac:dyDescent="0.25">
      <c r="A7128" s="3"/>
      <c r="F7128" s="19"/>
      <c r="G7128" s="19"/>
      <c r="N7128" s="19"/>
      <c r="P7128" s="19"/>
      <c r="AL7128" s="19"/>
    </row>
    <row r="7129" spans="1:38" s="11" customFormat="1" x14ac:dyDescent="0.25">
      <c r="A7129" s="3"/>
      <c r="F7129" s="19"/>
      <c r="G7129" s="19"/>
      <c r="N7129" s="19"/>
      <c r="P7129" s="19"/>
      <c r="AL7129" s="19"/>
    </row>
    <row r="7130" spans="1:38" s="11" customFormat="1" x14ac:dyDescent="0.25">
      <c r="A7130" s="3"/>
      <c r="F7130" s="19"/>
      <c r="G7130" s="19"/>
      <c r="N7130" s="19"/>
      <c r="P7130" s="19"/>
      <c r="AL7130" s="19"/>
    </row>
    <row r="7131" spans="1:38" s="11" customFormat="1" x14ac:dyDescent="0.25">
      <c r="A7131" s="3"/>
      <c r="F7131" s="19"/>
      <c r="G7131" s="19"/>
      <c r="N7131" s="19"/>
      <c r="P7131" s="19"/>
      <c r="AL7131" s="19"/>
    </row>
    <row r="7132" spans="1:38" s="11" customFormat="1" x14ac:dyDescent="0.25">
      <c r="A7132" s="3"/>
      <c r="F7132" s="19"/>
      <c r="G7132" s="19"/>
      <c r="N7132" s="19"/>
      <c r="P7132" s="19"/>
      <c r="AL7132" s="19"/>
    </row>
    <row r="7133" spans="1:38" s="11" customFormat="1" x14ac:dyDescent="0.25">
      <c r="A7133" s="3"/>
      <c r="F7133" s="19"/>
      <c r="G7133" s="19"/>
      <c r="N7133" s="19"/>
      <c r="P7133" s="19"/>
      <c r="AL7133" s="19"/>
    </row>
    <row r="7134" spans="1:38" s="11" customFormat="1" x14ac:dyDescent="0.25">
      <c r="A7134" s="3"/>
      <c r="F7134" s="19"/>
      <c r="G7134" s="19"/>
      <c r="N7134" s="19"/>
      <c r="P7134" s="19"/>
      <c r="AL7134" s="19"/>
    </row>
    <row r="7135" spans="1:38" s="11" customFormat="1" x14ac:dyDescent="0.25">
      <c r="A7135" s="3"/>
      <c r="F7135" s="19"/>
      <c r="G7135" s="19"/>
      <c r="N7135" s="19"/>
      <c r="P7135" s="19"/>
      <c r="AL7135" s="19"/>
    </row>
    <row r="7136" spans="1:38" s="11" customFormat="1" x14ac:dyDescent="0.25">
      <c r="A7136" s="3"/>
      <c r="F7136" s="19"/>
      <c r="G7136" s="19"/>
      <c r="N7136" s="19"/>
      <c r="P7136" s="19"/>
      <c r="AL7136" s="19"/>
    </row>
    <row r="7137" spans="1:38" s="11" customFormat="1" x14ac:dyDescent="0.25">
      <c r="A7137" s="3"/>
      <c r="F7137" s="19"/>
      <c r="G7137" s="19"/>
      <c r="N7137" s="19"/>
      <c r="P7137" s="19"/>
      <c r="AL7137" s="19"/>
    </row>
    <row r="7138" spans="1:38" s="11" customFormat="1" x14ac:dyDescent="0.25">
      <c r="A7138" s="3"/>
      <c r="F7138" s="19"/>
      <c r="G7138" s="19"/>
      <c r="N7138" s="19"/>
      <c r="P7138" s="19"/>
      <c r="AL7138" s="19"/>
    </row>
    <row r="7139" spans="1:38" s="11" customFormat="1" x14ac:dyDescent="0.25">
      <c r="A7139" s="3"/>
      <c r="F7139" s="19"/>
      <c r="G7139" s="19"/>
      <c r="N7139" s="19"/>
      <c r="P7139" s="19"/>
      <c r="AL7139" s="19"/>
    </row>
    <row r="7140" spans="1:38" s="11" customFormat="1" x14ac:dyDescent="0.25">
      <c r="A7140" s="3"/>
      <c r="F7140" s="19"/>
      <c r="G7140" s="19"/>
      <c r="N7140" s="19"/>
      <c r="P7140" s="19"/>
      <c r="AL7140" s="19"/>
    </row>
    <row r="7141" spans="1:38" s="11" customFormat="1" x14ac:dyDescent="0.25">
      <c r="A7141" s="3"/>
      <c r="F7141" s="19"/>
      <c r="G7141" s="19"/>
      <c r="N7141" s="19"/>
      <c r="P7141" s="19"/>
      <c r="AL7141" s="19"/>
    </row>
    <row r="7142" spans="1:38" s="11" customFormat="1" x14ac:dyDescent="0.25">
      <c r="A7142" s="3"/>
      <c r="F7142" s="19"/>
      <c r="G7142" s="19"/>
      <c r="N7142" s="19"/>
      <c r="P7142" s="19"/>
      <c r="AL7142" s="19"/>
    </row>
    <row r="7143" spans="1:38" s="11" customFormat="1" x14ac:dyDescent="0.25">
      <c r="A7143" s="3"/>
      <c r="F7143" s="19"/>
      <c r="G7143" s="19"/>
      <c r="N7143" s="19"/>
      <c r="P7143" s="19"/>
      <c r="AL7143" s="19"/>
    </row>
    <row r="7144" spans="1:38" s="11" customFormat="1" x14ac:dyDescent="0.25">
      <c r="A7144" s="3"/>
      <c r="F7144" s="19"/>
      <c r="G7144" s="19"/>
      <c r="N7144" s="19"/>
      <c r="P7144" s="19"/>
      <c r="AL7144" s="19"/>
    </row>
    <row r="7145" spans="1:38" s="11" customFormat="1" x14ac:dyDescent="0.25">
      <c r="A7145" s="3"/>
      <c r="F7145" s="19"/>
      <c r="G7145" s="19"/>
      <c r="N7145" s="19"/>
      <c r="P7145" s="19"/>
      <c r="AL7145" s="19"/>
    </row>
    <row r="7146" spans="1:38" s="11" customFormat="1" x14ac:dyDescent="0.25">
      <c r="A7146" s="3"/>
      <c r="F7146" s="19"/>
      <c r="G7146" s="19"/>
      <c r="N7146" s="19"/>
      <c r="P7146" s="19"/>
      <c r="AL7146" s="19"/>
    </row>
    <row r="7147" spans="1:38" s="11" customFormat="1" x14ac:dyDescent="0.25">
      <c r="A7147" s="3"/>
      <c r="F7147" s="19"/>
      <c r="G7147" s="19"/>
      <c r="N7147" s="19"/>
      <c r="P7147" s="19"/>
      <c r="AL7147" s="19"/>
    </row>
    <row r="7148" spans="1:38" s="11" customFormat="1" x14ac:dyDescent="0.25">
      <c r="A7148" s="3"/>
      <c r="F7148" s="19"/>
      <c r="G7148" s="19"/>
      <c r="N7148" s="19"/>
      <c r="P7148" s="19"/>
      <c r="AL7148" s="19"/>
    </row>
    <row r="7149" spans="1:38" s="11" customFormat="1" x14ac:dyDescent="0.25">
      <c r="A7149" s="3"/>
      <c r="F7149" s="19"/>
      <c r="G7149" s="19"/>
      <c r="N7149" s="19"/>
      <c r="P7149" s="19"/>
      <c r="AL7149" s="19"/>
    </row>
    <row r="7150" spans="1:38" s="11" customFormat="1" x14ac:dyDescent="0.25">
      <c r="A7150" s="3"/>
      <c r="F7150" s="19"/>
      <c r="G7150" s="19"/>
      <c r="N7150" s="19"/>
      <c r="P7150" s="19"/>
      <c r="AL7150" s="19"/>
    </row>
    <row r="7151" spans="1:38" s="11" customFormat="1" x14ac:dyDescent="0.25">
      <c r="A7151" s="3"/>
      <c r="F7151" s="19"/>
      <c r="G7151" s="19"/>
      <c r="N7151" s="19"/>
      <c r="P7151" s="19"/>
      <c r="AL7151" s="19"/>
    </row>
    <row r="7152" spans="1:38" s="11" customFormat="1" x14ac:dyDescent="0.25">
      <c r="A7152" s="3"/>
      <c r="F7152" s="19"/>
      <c r="G7152" s="19"/>
      <c r="N7152" s="19"/>
      <c r="P7152" s="19"/>
      <c r="AL7152" s="19"/>
    </row>
    <row r="7153" spans="1:38" s="11" customFormat="1" x14ac:dyDescent="0.25">
      <c r="A7153" s="3"/>
      <c r="F7153" s="19"/>
      <c r="G7153" s="19"/>
      <c r="N7153" s="19"/>
      <c r="P7153" s="19"/>
      <c r="AL7153" s="19"/>
    </row>
    <row r="7154" spans="1:38" s="11" customFormat="1" x14ac:dyDescent="0.25">
      <c r="A7154" s="3"/>
      <c r="F7154" s="19"/>
      <c r="G7154" s="19"/>
      <c r="N7154" s="19"/>
      <c r="P7154" s="19"/>
      <c r="AL7154" s="19"/>
    </row>
    <row r="7155" spans="1:38" s="11" customFormat="1" x14ac:dyDescent="0.25">
      <c r="A7155" s="3"/>
      <c r="F7155" s="19"/>
      <c r="G7155" s="19"/>
      <c r="N7155" s="19"/>
      <c r="P7155" s="19"/>
      <c r="AL7155" s="19"/>
    </row>
    <row r="7156" spans="1:38" s="11" customFormat="1" x14ac:dyDescent="0.25">
      <c r="A7156" s="3"/>
      <c r="F7156" s="19"/>
      <c r="G7156" s="19"/>
      <c r="N7156" s="19"/>
      <c r="P7156" s="19"/>
      <c r="AL7156" s="19"/>
    </row>
    <row r="7157" spans="1:38" s="11" customFormat="1" x14ac:dyDescent="0.25">
      <c r="A7157" s="3"/>
      <c r="F7157" s="19"/>
      <c r="G7157" s="19"/>
      <c r="N7157" s="19"/>
      <c r="P7157" s="19"/>
      <c r="AL7157" s="19"/>
    </row>
    <row r="7158" spans="1:38" s="11" customFormat="1" x14ac:dyDescent="0.25">
      <c r="A7158" s="3"/>
      <c r="F7158" s="19"/>
      <c r="G7158" s="19"/>
      <c r="N7158" s="19"/>
      <c r="P7158" s="19"/>
      <c r="AL7158" s="19"/>
    </row>
    <row r="7159" spans="1:38" s="11" customFormat="1" x14ac:dyDescent="0.25">
      <c r="A7159" s="3"/>
      <c r="F7159" s="19"/>
      <c r="G7159" s="19"/>
      <c r="N7159" s="19"/>
      <c r="P7159" s="19"/>
      <c r="AL7159" s="19"/>
    </row>
    <row r="7160" spans="1:38" s="11" customFormat="1" x14ac:dyDescent="0.25">
      <c r="A7160" s="3"/>
      <c r="F7160" s="19"/>
      <c r="G7160" s="19"/>
      <c r="N7160" s="19"/>
      <c r="P7160" s="19"/>
      <c r="AL7160" s="19"/>
    </row>
    <row r="7161" spans="1:38" s="11" customFormat="1" x14ac:dyDescent="0.25">
      <c r="A7161" s="3"/>
      <c r="F7161" s="19"/>
      <c r="G7161" s="19"/>
      <c r="N7161" s="19"/>
      <c r="P7161" s="19"/>
      <c r="AL7161" s="19"/>
    </row>
    <row r="7162" spans="1:38" s="11" customFormat="1" x14ac:dyDescent="0.25">
      <c r="A7162" s="3"/>
      <c r="F7162" s="19"/>
      <c r="G7162" s="19"/>
      <c r="N7162" s="19"/>
      <c r="P7162" s="19"/>
      <c r="AL7162" s="19"/>
    </row>
    <row r="7163" spans="1:38" s="11" customFormat="1" x14ac:dyDescent="0.25">
      <c r="A7163" s="3"/>
      <c r="F7163" s="19"/>
      <c r="G7163" s="19"/>
      <c r="N7163" s="19"/>
      <c r="P7163" s="19"/>
      <c r="AL7163" s="19"/>
    </row>
    <row r="7164" spans="1:38" s="11" customFormat="1" x14ac:dyDescent="0.25">
      <c r="A7164" s="3"/>
      <c r="F7164" s="19"/>
      <c r="G7164" s="19"/>
      <c r="N7164" s="19"/>
      <c r="P7164" s="19"/>
      <c r="AL7164" s="19"/>
    </row>
    <row r="7165" spans="1:38" s="11" customFormat="1" x14ac:dyDescent="0.25">
      <c r="A7165" s="3"/>
      <c r="F7165" s="19"/>
      <c r="G7165" s="19"/>
      <c r="N7165" s="19"/>
      <c r="P7165" s="19"/>
      <c r="AL7165" s="19"/>
    </row>
    <row r="7166" spans="1:38" s="11" customFormat="1" x14ac:dyDescent="0.25">
      <c r="A7166" s="3"/>
      <c r="F7166" s="19"/>
      <c r="G7166" s="19"/>
      <c r="N7166" s="19"/>
      <c r="P7166" s="19"/>
      <c r="AL7166" s="19"/>
    </row>
    <row r="7167" spans="1:38" s="11" customFormat="1" x14ac:dyDescent="0.25">
      <c r="A7167" s="3"/>
      <c r="F7167" s="19"/>
      <c r="G7167" s="19"/>
      <c r="N7167" s="19"/>
      <c r="P7167" s="19"/>
      <c r="AL7167" s="19"/>
    </row>
    <row r="7168" spans="1:38" s="11" customFormat="1" x14ac:dyDescent="0.25">
      <c r="A7168" s="3"/>
      <c r="F7168" s="19"/>
      <c r="G7168" s="19"/>
      <c r="N7168" s="19"/>
      <c r="P7168" s="19"/>
      <c r="AL7168" s="19"/>
    </row>
    <row r="7169" spans="1:38" s="11" customFormat="1" x14ac:dyDescent="0.25">
      <c r="A7169" s="3"/>
      <c r="F7169" s="19"/>
      <c r="G7169" s="19"/>
      <c r="N7169" s="19"/>
      <c r="P7169" s="19"/>
      <c r="AL7169" s="19"/>
    </row>
    <row r="7170" spans="1:38" s="11" customFormat="1" x14ac:dyDescent="0.25">
      <c r="A7170" s="3"/>
      <c r="F7170" s="19"/>
      <c r="G7170" s="19"/>
      <c r="N7170" s="19"/>
      <c r="P7170" s="19"/>
      <c r="AL7170" s="19"/>
    </row>
    <row r="7171" spans="1:38" s="11" customFormat="1" x14ac:dyDescent="0.25">
      <c r="A7171" s="3"/>
      <c r="F7171" s="19"/>
      <c r="G7171" s="19"/>
      <c r="N7171" s="19"/>
      <c r="P7171" s="19"/>
      <c r="AL7171" s="19"/>
    </row>
    <row r="7172" spans="1:38" s="11" customFormat="1" x14ac:dyDescent="0.25">
      <c r="A7172" s="3"/>
      <c r="F7172" s="19"/>
      <c r="G7172" s="19"/>
      <c r="N7172" s="19"/>
      <c r="P7172" s="19"/>
      <c r="AL7172" s="19"/>
    </row>
    <row r="7173" spans="1:38" s="11" customFormat="1" x14ac:dyDescent="0.25">
      <c r="A7173" s="3"/>
      <c r="F7173" s="19"/>
      <c r="G7173" s="19"/>
      <c r="N7173" s="19"/>
      <c r="P7173" s="19"/>
      <c r="AL7173" s="19"/>
    </row>
    <row r="7174" spans="1:38" s="11" customFormat="1" x14ac:dyDescent="0.25">
      <c r="A7174" s="3"/>
      <c r="F7174" s="19"/>
      <c r="G7174" s="19"/>
      <c r="N7174" s="19"/>
      <c r="P7174" s="19"/>
      <c r="AL7174" s="19"/>
    </row>
    <row r="7175" spans="1:38" s="11" customFormat="1" x14ac:dyDescent="0.25">
      <c r="A7175" s="3"/>
      <c r="F7175" s="19"/>
      <c r="G7175" s="19"/>
      <c r="N7175" s="19"/>
      <c r="P7175" s="19"/>
      <c r="AL7175" s="19"/>
    </row>
    <row r="7176" spans="1:38" s="11" customFormat="1" x14ac:dyDescent="0.25">
      <c r="A7176" s="3"/>
      <c r="F7176" s="19"/>
      <c r="G7176" s="19"/>
      <c r="N7176" s="19"/>
      <c r="P7176" s="19"/>
      <c r="AL7176" s="19"/>
    </row>
    <row r="7177" spans="1:38" s="11" customFormat="1" x14ac:dyDescent="0.25">
      <c r="A7177" s="3"/>
      <c r="F7177" s="19"/>
      <c r="G7177" s="19"/>
      <c r="N7177" s="19"/>
      <c r="P7177" s="19"/>
      <c r="AL7177" s="19"/>
    </row>
    <row r="7178" spans="1:38" s="11" customFormat="1" x14ac:dyDescent="0.25">
      <c r="A7178" s="3"/>
      <c r="F7178" s="19"/>
      <c r="G7178" s="19"/>
      <c r="N7178" s="19"/>
      <c r="P7178" s="19"/>
      <c r="AL7178" s="19"/>
    </row>
    <row r="7179" spans="1:38" s="11" customFormat="1" x14ac:dyDescent="0.25">
      <c r="A7179" s="3"/>
      <c r="F7179" s="19"/>
      <c r="G7179" s="19"/>
      <c r="N7179" s="19"/>
      <c r="P7179" s="19"/>
      <c r="AL7179" s="19"/>
    </row>
    <row r="7180" spans="1:38" s="11" customFormat="1" x14ac:dyDescent="0.25">
      <c r="A7180" s="3"/>
      <c r="F7180" s="19"/>
      <c r="G7180" s="19"/>
      <c r="N7180" s="19"/>
      <c r="P7180" s="19"/>
      <c r="AL7180" s="19"/>
    </row>
    <row r="7181" spans="1:38" s="11" customFormat="1" x14ac:dyDescent="0.25">
      <c r="A7181" s="3"/>
      <c r="F7181" s="19"/>
      <c r="G7181" s="19"/>
      <c r="N7181" s="19"/>
      <c r="P7181" s="19"/>
      <c r="AL7181" s="19"/>
    </row>
    <row r="7182" spans="1:38" s="11" customFormat="1" x14ac:dyDescent="0.25">
      <c r="A7182" s="3"/>
      <c r="F7182" s="19"/>
      <c r="G7182" s="19"/>
      <c r="N7182" s="19"/>
      <c r="P7182" s="19"/>
      <c r="AL7182" s="19"/>
    </row>
    <row r="7183" spans="1:38" s="11" customFormat="1" x14ac:dyDescent="0.25">
      <c r="A7183" s="3"/>
      <c r="F7183" s="19"/>
      <c r="G7183" s="19"/>
      <c r="N7183" s="19"/>
      <c r="P7183" s="19"/>
      <c r="AL7183" s="19"/>
    </row>
    <row r="7184" spans="1:38" s="11" customFormat="1" x14ac:dyDescent="0.25">
      <c r="A7184" s="3"/>
      <c r="F7184" s="19"/>
      <c r="G7184" s="19"/>
      <c r="N7184" s="19"/>
      <c r="P7184" s="19"/>
      <c r="AL7184" s="19"/>
    </row>
    <row r="7185" spans="1:38" s="11" customFormat="1" x14ac:dyDescent="0.25">
      <c r="A7185" s="3"/>
      <c r="F7185" s="19"/>
      <c r="G7185" s="19"/>
      <c r="N7185" s="19"/>
      <c r="P7185" s="19"/>
      <c r="AL7185" s="19"/>
    </row>
    <row r="7186" spans="1:38" s="11" customFormat="1" x14ac:dyDescent="0.25">
      <c r="A7186" s="3"/>
      <c r="F7186" s="19"/>
      <c r="G7186" s="19"/>
      <c r="N7186" s="19"/>
      <c r="P7186" s="19"/>
      <c r="AL7186" s="19"/>
    </row>
    <row r="7187" spans="1:38" s="11" customFormat="1" x14ac:dyDescent="0.25">
      <c r="A7187" s="3"/>
      <c r="F7187" s="19"/>
      <c r="G7187" s="19"/>
      <c r="N7187" s="19"/>
      <c r="P7187" s="19"/>
      <c r="AL7187" s="19"/>
    </row>
    <row r="7188" spans="1:38" s="11" customFormat="1" x14ac:dyDescent="0.25">
      <c r="A7188" s="3"/>
      <c r="F7188" s="19"/>
      <c r="G7188" s="19"/>
      <c r="N7188" s="19"/>
      <c r="P7188" s="19"/>
      <c r="AL7188" s="19"/>
    </row>
    <row r="7189" spans="1:38" s="11" customFormat="1" x14ac:dyDescent="0.25">
      <c r="A7189" s="3"/>
      <c r="F7189" s="19"/>
      <c r="G7189" s="19"/>
      <c r="N7189" s="19"/>
      <c r="P7189" s="19"/>
      <c r="AL7189" s="19"/>
    </row>
    <row r="7190" spans="1:38" s="11" customFormat="1" x14ac:dyDescent="0.25">
      <c r="A7190" s="3"/>
      <c r="F7190" s="19"/>
      <c r="G7190" s="19"/>
      <c r="N7190" s="19"/>
      <c r="P7190" s="19"/>
      <c r="AL7190" s="19"/>
    </row>
    <row r="7191" spans="1:38" s="11" customFormat="1" x14ac:dyDescent="0.25">
      <c r="A7191" s="3"/>
      <c r="F7191" s="19"/>
      <c r="G7191" s="19"/>
      <c r="N7191" s="19"/>
      <c r="P7191" s="19"/>
      <c r="AL7191" s="19"/>
    </row>
    <row r="7192" spans="1:38" s="11" customFormat="1" x14ac:dyDescent="0.25">
      <c r="A7192" s="3"/>
      <c r="F7192" s="19"/>
      <c r="G7192" s="19"/>
      <c r="N7192" s="19"/>
      <c r="P7192" s="19"/>
      <c r="AL7192" s="19"/>
    </row>
    <row r="7193" spans="1:38" s="11" customFormat="1" x14ac:dyDescent="0.25">
      <c r="A7193" s="3"/>
      <c r="F7193" s="19"/>
      <c r="G7193" s="19"/>
      <c r="N7193" s="19"/>
      <c r="P7193" s="19"/>
      <c r="AL7193" s="19"/>
    </row>
    <row r="7194" spans="1:38" s="11" customFormat="1" x14ac:dyDescent="0.25">
      <c r="A7194" s="3"/>
      <c r="F7194" s="19"/>
      <c r="G7194" s="19"/>
      <c r="N7194" s="19"/>
      <c r="P7194" s="19"/>
      <c r="AL7194" s="19"/>
    </row>
    <row r="7195" spans="1:38" s="11" customFormat="1" x14ac:dyDescent="0.25">
      <c r="A7195" s="3"/>
      <c r="F7195" s="19"/>
      <c r="G7195" s="19"/>
      <c r="N7195" s="19"/>
      <c r="P7195" s="19"/>
      <c r="AL7195" s="19"/>
    </row>
    <row r="7196" spans="1:38" s="11" customFormat="1" x14ac:dyDescent="0.25">
      <c r="A7196" s="3"/>
      <c r="F7196" s="19"/>
      <c r="G7196" s="19"/>
      <c r="N7196" s="19"/>
      <c r="P7196" s="19"/>
      <c r="AL7196" s="19"/>
    </row>
    <row r="7197" spans="1:38" s="11" customFormat="1" x14ac:dyDescent="0.25">
      <c r="A7197" s="3"/>
      <c r="F7197" s="19"/>
      <c r="G7197" s="19"/>
      <c r="N7197" s="19"/>
      <c r="P7197" s="19"/>
      <c r="AL7197" s="19"/>
    </row>
    <row r="7198" spans="1:38" s="11" customFormat="1" x14ac:dyDescent="0.25">
      <c r="A7198" s="3"/>
      <c r="F7198" s="19"/>
      <c r="G7198" s="19"/>
      <c r="N7198" s="19"/>
      <c r="P7198" s="19"/>
      <c r="AL7198" s="19"/>
    </row>
    <row r="7199" spans="1:38" s="11" customFormat="1" x14ac:dyDescent="0.25">
      <c r="A7199" s="3"/>
      <c r="F7199" s="19"/>
      <c r="G7199" s="19"/>
      <c r="N7199" s="19"/>
      <c r="P7199" s="19"/>
      <c r="AL7199" s="19"/>
    </row>
    <row r="7200" spans="1:38" s="11" customFormat="1" x14ac:dyDescent="0.25">
      <c r="A7200" s="3"/>
      <c r="F7200" s="19"/>
      <c r="G7200" s="19"/>
      <c r="N7200" s="19"/>
      <c r="P7200" s="19"/>
      <c r="AL7200" s="19"/>
    </row>
    <row r="7201" spans="1:38" s="11" customFormat="1" x14ac:dyDescent="0.25">
      <c r="A7201" s="3"/>
      <c r="F7201" s="19"/>
      <c r="G7201" s="19"/>
      <c r="N7201" s="19"/>
      <c r="P7201" s="19"/>
      <c r="AL7201" s="19"/>
    </row>
    <row r="7202" spans="1:38" s="11" customFormat="1" x14ac:dyDescent="0.25">
      <c r="A7202" s="3"/>
      <c r="F7202" s="19"/>
      <c r="G7202" s="19"/>
      <c r="N7202" s="19"/>
      <c r="P7202" s="19"/>
      <c r="AL7202" s="19"/>
    </row>
    <row r="7203" spans="1:38" s="11" customFormat="1" x14ac:dyDescent="0.25">
      <c r="A7203" s="3"/>
      <c r="F7203" s="19"/>
      <c r="G7203" s="19"/>
      <c r="N7203" s="19"/>
      <c r="P7203" s="19"/>
      <c r="AL7203" s="19"/>
    </row>
    <row r="7204" spans="1:38" s="11" customFormat="1" x14ac:dyDescent="0.25">
      <c r="A7204" s="3"/>
      <c r="F7204" s="19"/>
      <c r="G7204" s="19"/>
      <c r="N7204" s="19"/>
      <c r="P7204" s="19"/>
      <c r="AL7204" s="19"/>
    </row>
    <row r="7205" spans="1:38" s="11" customFormat="1" x14ac:dyDescent="0.25">
      <c r="A7205" s="3"/>
      <c r="F7205" s="19"/>
      <c r="G7205" s="19"/>
      <c r="N7205" s="19"/>
      <c r="P7205" s="19"/>
      <c r="AL7205" s="19"/>
    </row>
    <row r="7206" spans="1:38" s="11" customFormat="1" x14ac:dyDescent="0.25">
      <c r="A7206" s="3"/>
      <c r="F7206" s="19"/>
      <c r="G7206" s="19"/>
      <c r="N7206" s="19"/>
      <c r="P7206" s="19"/>
      <c r="AL7206" s="19"/>
    </row>
    <row r="7207" spans="1:38" s="11" customFormat="1" x14ac:dyDescent="0.25">
      <c r="A7207" s="3"/>
      <c r="F7207" s="19"/>
      <c r="G7207" s="19"/>
      <c r="N7207" s="19"/>
      <c r="P7207" s="19"/>
      <c r="AL7207" s="19"/>
    </row>
    <row r="7208" spans="1:38" s="11" customFormat="1" x14ac:dyDescent="0.25">
      <c r="A7208" s="3"/>
      <c r="F7208" s="19"/>
      <c r="G7208" s="19"/>
      <c r="N7208" s="19"/>
      <c r="P7208" s="19"/>
      <c r="AL7208" s="19"/>
    </row>
    <row r="7209" spans="1:38" s="11" customFormat="1" x14ac:dyDescent="0.25">
      <c r="A7209" s="3"/>
      <c r="F7209" s="19"/>
      <c r="G7209" s="19"/>
      <c r="N7209" s="19"/>
      <c r="P7209" s="19"/>
      <c r="AL7209" s="19"/>
    </row>
    <row r="7210" spans="1:38" s="11" customFormat="1" x14ac:dyDescent="0.25">
      <c r="A7210" s="3"/>
      <c r="F7210" s="19"/>
      <c r="G7210" s="19"/>
      <c r="N7210" s="19"/>
      <c r="P7210" s="19"/>
      <c r="AL7210" s="19"/>
    </row>
    <row r="7211" spans="1:38" s="11" customFormat="1" x14ac:dyDescent="0.25">
      <c r="A7211" s="3"/>
      <c r="F7211" s="19"/>
      <c r="G7211" s="19"/>
      <c r="N7211" s="19"/>
      <c r="P7211" s="19"/>
      <c r="AL7211" s="19"/>
    </row>
    <row r="7212" spans="1:38" s="11" customFormat="1" x14ac:dyDescent="0.25">
      <c r="A7212" s="3"/>
      <c r="F7212" s="19"/>
      <c r="G7212" s="19"/>
      <c r="N7212" s="19"/>
      <c r="P7212" s="19"/>
      <c r="AL7212" s="19"/>
    </row>
    <row r="7213" spans="1:38" s="11" customFormat="1" x14ac:dyDescent="0.25">
      <c r="A7213" s="3"/>
      <c r="F7213" s="19"/>
      <c r="G7213" s="19"/>
      <c r="N7213" s="19"/>
      <c r="P7213" s="19"/>
      <c r="AL7213" s="19"/>
    </row>
    <row r="7214" spans="1:38" s="11" customFormat="1" x14ac:dyDescent="0.25">
      <c r="A7214" s="3"/>
      <c r="F7214" s="19"/>
      <c r="G7214" s="19"/>
      <c r="N7214" s="19"/>
      <c r="P7214" s="19"/>
      <c r="AL7214" s="19"/>
    </row>
    <row r="7215" spans="1:38" s="11" customFormat="1" x14ac:dyDescent="0.25">
      <c r="A7215" s="3"/>
      <c r="F7215" s="19"/>
      <c r="G7215" s="19"/>
      <c r="N7215" s="19"/>
      <c r="P7215" s="19"/>
      <c r="AL7215" s="19"/>
    </row>
    <row r="7216" spans="1:38" s="11" customFormat="1" x14ac:dyDescent="0.25">
      <c r="A7216" s="3"/>
      <c r="F7216" s="19"/>
      <c r="G7216" s="19"/>
      <c r="N7216" s="19"/>
      <c r="P7216" s="19"/>
      <c r="AL7216" s="19"/>
    </row>
    <row r="7217" spans="1:38" s="11" customFormat="1" x14ac:dyDescent="0.25">
      <c r="A7217" s="3"/>
      <c r="F7217" s="19"/>
      <c r="G7217" s="19"/>
      <c r="N7217" s="19"/>
      <c r="P7217" s="19"/>
      <c r="AL7217" s="19"/>
    </row>
    <row r="7218" spans="1:38" s="11" customFormat="1" x14ac:dyDescent="0.25">
      <c r="A7218" s="3"/>
      <c r="F7218" s="19"/>
      <c r="G7218" s="19"/>
      <c r="N7218" s="19"/>
      <c r="P7218" s="19"/>
      <c r="AL7218" s="19"/>
    </row>
    <row r="7219" spans="1:38" s="11" customFormat="1" x14ac:dyDescent="0.25">
      <c r="A7219" s="3"/>
      <c r="F7219" s="19"/>
      <c r="G7219" s="19"/>
      <c r="N7219" s="19"/>
      <c r="P7219" s="19"/>
      <c r="AL7219" s="19"/>
    </row>
    <row r="7220" spans="1:38" s="11" customFormat="1" x14ac:dyDescent="0.25">
      <c r="A7220" s="3"/>
      <c r="F7220" s="19"/>
      <c r="G7220" s="19"/>
      <c r="N7220" s="19"/>
      <c r="P7220" s="19"/>
      <c r="AL7220" s="19"/>
    </row>
    <row r="7221" spans="1:38" s="11" customFormat="1" x14ac:dyDescent="0.25">
      <c r="A7221" s="3"/>
      <c r="F7221" s="19"/>
      <c r="G7221" s="19"/>
      <c r="N7221" s="19"/>
      <c r="P7221" s="19"/>
      <c r="AL7221" s="19"/>
    </row>
    <row r="7222" spans="1:38" s="11" customFormat="1" x14ac:dyDescent="0.25">
      <c r="A7222" s="3"/>
      <c r="F7222" s="19"/>
      <c r="G7222" s="19"/>
      <c r="N7222" s="19"/>
      <c r="P7222" s="19"/>
      <c r="AL7222" s="19"/>
    </row>
    <row r="7223" spans="1:38" s="11" customFormat="1" x14ac:dyDescent="0.25">
      <c r="A7223" s="3"/>
      <c r="F7223" s="19"/>
      <c r="G7223" s="19"/>
      <c r="N7223" s="19"/>
      <c r="P7223" s="19"/>
      <c r="AL7223" s="19"/>
    </row>
    <row r="7224" spans="1:38" s="11" customFormat="1" x14ac:dyDescent="0.25">
      <c r="A7224" s="3"/>
      <c r="F7224" s="19"/>
      <c r="G7224" s="19"/>
      <c r="N7224" s="19"/>
      <c r="P7224" s="19"/>
      <c r="AL7224" s="19"/>
    </row>
    <row r="7225" spans="1:38" s="11" customFormat="1" x14ac:dyDescent="0.25">
      <c r="A7225" s="3"/>
      <c r="F7225" s="19"/>
      <c r="G7225" s="19"/>
      <c r="N7225" s="19"/>
      <c r="P7225" s="19"/>
      <c r="AL7225" s="19"/>
    </row>
    <row r="7226" spans="1:38" s="11" customFormat="1" x14ac:dyDescent="0.25">
      <c r="A7226" s="3"/>
      <c r="F7226" s="19"/>
      <c r="G7226" s="19"/>
      <c r="N7226" s="19"/>
      <c r="P7226" s="19"/>
      <c r="AL7226" s="19"/>
    </row>
    <row r="7227" spans="1:38" s="11" customFormat="1" x14ac:dyDescent="0.25">
      <c r="A7227" s="3"/>
      <c r="F7227" s="19"/>
      <c r="G7227" s="19"/>
      <c r="N7227" s="19"/>
      <c r="P7227" s="19"/>
      <c r="AL7227" s="19"/>
    </row>
    <row r="7228" spans="1:38" s="11" customFormat="1" x14ac:dyDescent="0.25">
      <c r="A7228" s="3"/>
      <c r="F7228" s="19"/>
      <c r="G7228" s="19"/>
      <c r="N7228" s="19"/>
      <c r="P7228" s="19"/>
      <c r="AL7228" s="19"/>
    </row>
    <row r="7229" spans="1:38" s="11" customFormat="1" x14ac:dyDescent="0.25">
      <c r="A7229" s="3"/>
      <c r="F7229" s="19"/>
      <c r="G7229" s="19"/>
      <c r="N7229" s="19"/>
      <c r="P7229" s="19"/>
      <c r="AL7229" s="19"/>
    </row>
    <row r="7230" spans="1:38" s="11" customFormat="1" x14ac:dyDescent="0.25">
      <c r="A7230" s="3"/>
      <c r="F7230" s="19"/>
      <c r="G7230" s="19"/>
      <c r="N7230" s="19"/>
      <c r="P7230" s="19"/>
      <c r="AL7230" s="19"/>
    </row>
    <row r="7231" spans="1:38" s="11" customFormat="1" x14ac:dyDescent="0.25">
      <c r="A7231" s="3"/>
      <c r="F7231" s="19"/>
      <c r="G7231" s="19"/>
      <c r="N7231" s="19"/>
      <c r="P7231" s="19"/>
      <c r="AL7231" s="19"/>
    </row>
    <row r="7232" spans="1:38" s="11" customFormat="1" x14ac:dyDescent="0.25">
      <c r="A7232" s="3"/>
      <c r="F7232" s="19"/>
      <c r="G7232" s="19"/>
      <c r="N7232" s="19"/>
      <c r="P7232" s="19"/>
      <c r="AL7232" s="19"/>
    </row>
    <row r="7233" spans="1:38" s="11" customFormat="1" x14ac:dyDescent="0.25">
      <c r="A7233" s="3"/>
      <c r="F7233" s="19"/>
      <c r="G7233" s="19"/>
      <c r="N7233" s="19"/>
      <c r="P7233" s="19"/>
      <c r="AL7233" s="19"/>
    </row>
    <row r="7234" spans="1:38" s="11" customFormat="1" x14ac:dyDescent="0.25">
      <c r="A7234" s="3"/>
      <c r="F7234" s="19"/>
      <c r="G7234" s="19"/>
      <c r="N7234" s="19"/>
      <c r="P7234" s="19"/>
      <c r="AL7234" s="19"/>
    </row>
    <row r="7235" spans="1:38" s="11" customFormat="1" x14ac:dyDescent="0.25">
      <c r="A7235" s="3"/>
      <c r="F7235" s="19"/>
      <c r="G7235" s="19"/>
      <c r="N7235" s="19"/>
      <c r="P7235" s="19"/>
      <c r="AL7235" s="19"/>
    </row>
    <row r="7236" spans="1:38" s="11" customFormat="1" x14ac:dyDescent="0.25">
      <c r="A7236" s="3"/>
      <c r="F7236" s="19"/>
      <c r="G7236" s="19"/>
      <c r="N7236" s="19"/>
      <c r="P7236" s="19"/>
      <c r="AL7236" s="19"/>
    </row>
    <row r="7237" spans="1:38" s="11" customFormat="1" x14ac:dyDescent="0.25">
      <c r="A7237" s="3"/>
      <c r="F7237" s="19"/>
      <c r="G7237" s="19"/>
      <c r="N7237" s="19"/>
      <c r="P7237" s="19"/>
      <c r="AL7237" s="19"/>
    </row>
    <row r="7238" spans="1:38" s="11" customFormat="1" x14ac:dyDescent="0.25">
      <c r="A7238" s="3"/>
      <c r="F7238" s="19"/>
      <c r="G7238" s="19"/>
      <c r="N7238" s="19"/>
      <c r="P7238" s="19"/>
      <c r="AL7238" s="19"/>
    </row>
    <row r="7239" spans="1:38" s="11" customFormat="1" x14ac:dyDescent="0.25">
      <c r="A7239" s="3"/>
      <c r="F7239" s="19"/>
      <c r="G7239" s="19"/>
      <c r="N7239" s="19"/>
      <c r="P7239" s="19"/>
      <c r="AL7239" s="19"/>
    </row>
    <row r="7240" spans="1:38" s="11" customFormat="1" x14ac:dyDescent="0.25">
      <c r="A7240" s="3"/>
      <c r="F7240" s="19"/>
      <c r="G7240" s="19"/>
      <c r="N7240" s="19"/>
      <c r="P7240" s="19"/>
      <c r="AL7240" s="19"/>
    </row>
    <row r="7241" spans="1:38" s="11" customFormat="1" x14ac:dyDescent="0.25">
      <c r="A7241" s="3"/>
      <c r="F7241" s="19"/>
      <c r="G7241" s="19"/>
      <c r="N7241" s="19"/>
      <c r="P7241" s="19"/>
      <c r="AL7241" s="19"/>
    </row>
    <row r="7242" spans="1:38" s="11" customFormat="1" x14ac:dyDescent="0.25">
      <c r="A7242" s="3"/>
      <c r="F7242" s="19"/>
      <c r="G7242" s="19"/>
      <c r="N7242" s="19"/>
      <c r="P7242" s="19"/>
      <c r="AL7242" s="19"/>
    </row>
    <row r="7243" spans="1:38" s="11" customFormat="1" x14ac:dyDescent="0.25">
      <c r="A7243" s="3"/>
      <c r="F7243" s="19"/>
      <c r="G7243" s="19"/>
      <c r="N7243" s="19"/>
      <c r="P7243" s="19"/>
      <c r="AL7243" s="19"/>
    </row>
    <row r="7244" spans="1:38" s="11" customFormat="1" x14ac:dyDescent="0.25">
      <c r="A7244" s="3"/>
      <c r="F7244" s="19"/>
      <c r="G7244" s="19"/>
      <c r="N7244" s="19"/>
      <c r="P7244" s="19"/>
      <c r="AL7244" s="19"/>
    </row>
    <row r="7245" spans="1:38" s="11" customFormat="1" x14ac:dyDescent="0.25">
      <c r="A7245" s="3"/>
      <c r="F7245" s="19"/>
      <c r="G7245" s="19"/>
      <c r="N7245" s="19"/>
      <c r="P7245" s="19"/>
      <c r="AL7245" s="19"/>
    </row>
    <row r="7246" spans="1:38" s="11" customFormat="1" x14ac:dyDescent="0.25">
      <c r="A7246" s="3"/>
      <c r="F7246" s="19"/>
      <c r="G7246" s="19"/>
      <c r="N7246" s="19"/>
      <c r="P7246" s="19"/>
      <c r="AL7246" s="19"/>
    </row>
    <row r="7247" spans="1:38" s="11" customFormat="1" x14ac:dyDescent="0.25">
      <c r="A7247" s="3"/>
      <c r="F7247" s="19"/>
      <c r="G7247" s="19"/>
      <c r="N7247" s="19"/>
      <c r="P7247" s="19"/>
      <c r="AL7247" s="19"/>
    </row>
    <row r="7248" spans="1:38" s="11" customFormat="1" x14ac:dyDescent="0.25">
      <c r="A7248" s="3"/>
      <c r="F7248" s="19"/>
      <c r="G7248" s="19"/>
      <c r="N7248" s="19"/>
      <c r="P7248" s="19"/>
      <c r="AL7248" s="19"/>
    </row>
    <row r="7249" spans="1:38" s="11" customFormat="1" x14ac:dyDescent="0.25">
      <c r="A7249" s="3"/>
      <c r="F7249" s="19"/>
      <c r="G7249" s="19"/>
      <c r="N7249" s="19"/>
      <c r="P7249" s="19"/>
      <c r="AL7249" s="19"/>
    </row>
    <row r="7250" spans="1:38" s="11" customFormat="1" x14ac:dyDescent="0.25">
      <c r="A7250" s="3"/>
      <c r="F7250" s="19"/>
      <c r="G7250" s="19"/>
      <c r="N7250" s="19"/>
      <c r="P7250" s="19"/>
      <c r="AL7250" s="19"/>
    </row>
    <row r="7251" spans="1:38" s="11" customFormat="1" x14ac:dyDescent="0.25">
      <c r="A7251" s="3"/>
      <c r="F7251" s="19"/>
      <c r="G7251" s="19"/>
      <c r="N7251" s="19"/>
      <c r="P7251" s="19"/>
      <c r="AL7251" s="19"/>
    </row>
    <row r="7252" spans="1:38" s="11" customFormat="1" x14ac:dyDescent="0.25">
      <c r="A7252" s="3"/>
      <c r="F7252" s="19"/>
      <c r="G7252" s="19"/>
      <c r="N7252" s="19"/>
      <c r="P7252" s="19"/>
      <c r="AL7252" s="19"/>
    </row>
    <row r="7253" spans="1:38" s="11" customFormat="1" x14ac:dyDescent="0.25">
      <c r="A7253" s="3"/>
      <c r="F7253" s="19"/>
      <c r="G7253" s="19"/>
      <c r="N7253" s="19"/>
      <c r="P7253" s="19"/>
      <c r="AL7253" s="19"/>
    </row>
    <row r="7254" spans="1:38" s="11" customFormat="1" x14ac:dyDescent="0.25">
      <c r="A7254" s="3"/>
      <c r="F7254" s="19"/>
      <c r="G7254" s="19"/>
      <c r="N7254" s="19"/>
      <c r="P7254" s="19"/>
      <c r="AL7254" s="19"/>
    </row>
    <row r="7255" spans="1:38" s="11" customFormat="1" x14ac:dyDescent="0.25">
      <c r="A7255" s="3"/>
      <c r="F7255" s="19"/>
      <c r="G7255" s="19"/>
      <c r="N7255" s="19"/>
      <c r="P7255" s="19"/>
      <c r="AL7255" s="19"/>
    </row>
    <row r="7256" spans="1:38" s="11" customFormat="1" x14ac:dyDescent="0.25">
      <c r="A7256" s="3"/>
      <c r="F7256" s="19"/>
      <c r="G7256" s="19"/>
      <c r="N7256" s="19"/>
      <c r="P7256" s="19"/>
      <c r="AL7256" s="19"/>
    </row>
    <row r="7257" spans="1:38" s="11" customFormat="1" x14ac:dyDescent="0.25">
      <c r="A7257" s="3"/>
      <c r="F7257" s="19"/>
      <c r="G7257" s="19"/>
      <c r="N7257" s="19"/>
      <c r="P7257" s="19"/>
      <c r="AL7257" s="19"/>
    </row>
    <row r="7258" spans="1:38" s="11" customFormat="1" x14ac:dyDescent="0.25">
      <c r="A7258" s="3"/>
      <c r="F7258" s="19"/>
      <c r="G7258" s="19"/>
      <c r="N7258" s="19"/>
      <c r="P7258" s="19"/>
      <c r="AL7258" s="19"/>
    </row>
    <row r="7259" spans="1:38" s="11" customFormat="1" x14ac:dyDescent="0.25">
      <c r="A7259" s="3"/>
      <c r="F7259" s="19"/>
      <c r="G7259" s="19"/>
      <c r="N7259" s="19"/>
      <c r="P7259" s="19"/>
      <c r="AL7259" s="19"/>
    </row>
    <row r="7260" spans="1:38" s="11" customFormat="1" x14ac:dyDescent="0.25">
      <c r="A7260" s="3"/>
      <c r="F7260" s="19"/>
      <c r="G7260" s="19"/>
      <c r="N7260" s="19"/>
      <c r="P7260" s="19"/>
      <c r="AL7260" s="19"/>
    </row>
    <row r="7261" spans="1:38" s="11" customFormat="1" x14ac:dyDescent="0.25">
      <c r="A7261" s="3"/>
      <c r="F7261" s="19"/>
      <c r="G7261" s="19"/>
      <c r="N7261" s="19"/>
      <c r="P7261" s="19"/>
      <c r="AL7261" s="19"/>
    </row>
    <row r="7262" spans="1:38" s="11" customFormat="1" x14ac:dyDescent="0.25">
      <c r="A7262" s="3"/>
      <c r="F7262" s="19"/>
      <c r="G7262" s="19"/>
      <c r="N7262" s="19"/>
      <c r="P7262" s="19"/>
      <c r="AL7262" s="19"/>
    </row>
    <row r="7263" spans="1:38" s="11" customFormat="1" x14ac:dyDescent="0.25">
      <c r="A7263" s="3"/>
      <c r="F7263" s="19"/>
      <c r="G7263" s="19"/>
      <c r="N7263" s="19"/>
      <c r="P7263" s="19"/>
      <c r="AL7263" s="19"/>
    </row>
    <row r="7264" spans="1:38" s="11" customFormat="1" x14ac:dyDescent="0.25">
      <c r="A7264" s="3"/>
      <c r="F7264" s="19"/>
      <c r="G7264" s="19"/>
      <c r="N7264" s="19"/>
      <c r="P7264" s="19"/>
      <c r="AL7264" s="19"/>
    </row>
    <row r="7265" spans="1:38" s="11" customFormat="1" x14ac:dyDescent="0.25">
      <c r="A7265" s="3"/>
      <c r="F7265" s="19"/>
      <c r="G7265" s="19"/>
      <c r="N7265" s="19"/>
      <c r="P7265" s="19"/>
      <c r="AL7265" s="19"/>
    </row>
    <row r="7266" spans="1:38" s="11" customFormat="1" x14ac:dyDescent="0.25">
      <c r="A7266" s="3"/>
      <c r="F7266" s="19"/>
      <c r="G7266" s="19"/>
      <c r="N7266" s="19"/>
      <c r="P7266" s="19"/>
      <c r="AL7266" s="19"/>
    </row>
    <row r="7267" spans="1:38" s="11" customFormat="1" x14ac:dyDescent="0.25">
      <c r="A7267" s="3"/>
      <c r="F7267" s="19"/>
      <c r="G7267" s="19"/>
      <c r="N7267" s="19"/>
      <c r="P7267" s="19"/>
      <c r="AL7267" s="19"/>
    </row>
    <row r="7268" spans="1:38" s="11" customFormat="1" x14ac:dyDescent="0.25">
      <c r="A7268" s="3"/>
      <c r="F7268" s="19"/>
      <c r="G7268" s="19"/>
      <c r="N7268" s="19"/>
      <c r="P7268" s="19"/>
      <c r="AL7268" s="19"/>
    </row>
    <row r="7269" spans="1:38" s="11" customFormat="1" x14ac:dyDescent="0.25">
      <c r="A7269" s="3"/>
      <c r="F7269" s="19"/>
      <c r="G7269" s="19"/>
      <c r="N7269" s="19"/>
      <c r="P7269" s="19"/>
      <c r="AL7269" s="19"/>
    </row>
    <row r="7270" spans="1:38" s="11" customFormat="1" x14ac:dyDescent="0.25">
      <c r="A7270" s="3"/>
      <c r="F7270" s="19"/>
      <c r="G7270" s="19"/>
      <c r="N7270" s="19"/>
      <c r="P7270" s="19"/>
      <c r="AL7270" s="19"/>
    </row>
    <row r="7271" spans="1:38" s="11" customFormat="1" x14ac:dyDescent="0.25">
      <c r="A7271" s="3"/>
      <c r="F7271" s="19"/>
      <c r="G7271" s="19"/>
      <c r="N7271" s="19"/>
      <c r="P7271" s="19"/>
      <c r="AL7271" s="19"/>
    </row>
    <row r="7272" spans="1:38" s="11" customFormat="1" x14ac:dyDescent="0.25">
      <c r="A7272" s="3"/>
      <c r="F7272" s="19"/>
      <c r="G7272" s="19"/>
      <c r="N7272" s="19"/>
      <c r="P7272" s="19"/>
      <c r="AL7272" s="19"/>
    </row>
    <row r="7273" spans="1:38" s="11" customFormat="1" x14ac:dyDescent="0.25">
      <c r="A7273" s="3"/>
      <c r="F7273" s="19"/>
      <c r="G7273" s="19"/>
      <c r="N7273" s="19"/>
      <c r="P7273" s="19"/>
      <c r="AL7273" s="19"/>
    </row>
    <row r="7274" spans="1:38" s="11" customFormat="1" x14ac:dyDescent="0.25">
      <c r="A7274" s="3"/>
      <c r="F7274" s="19"/>
      <c r="G7274" s="19"/>
      <c r="N7274" s="19"/>
      <c r="P7274" s="19"/>
      <c r="AL7274" s="19"/>
    </row>
    <row r="7275" spans="1:38" s="11" customFormat="1" x14ac:dyDescent="0.25">
      <c r="A7275" s="3"/>
      <c r="F7275" s="19"/>
      <c r="G7275" s="19"/>
      <c r="N7275" s="19"/>
      <c r="P7275" s="19"/>
      <c r="AL7275" s="19"/>
    </row>
    <row r="7276" spans="1:38" s="11" customFormat="1" x14ac:dyDescent="0.25">
      <c r="A7276" s="3"/>
      <c r="F7276" s="19"/>
      <c r="G7276" s="19"/>
      <c r="N7276" s="19"/>
      <c r="P7276" s="19"/>
      <c r="AL7276" s="19"/>
    </row>
    <row r="7277" spans="1:38" s="11" customFormat="1" x14ac:dyDescent="0.25">
      <c r="A7277" s="3"/>
      <c r="F7277" s="19"/>
      <c r="G7277" s="19"/>
      <c r="N7277" s="19"/>
      <c r="P7277" s="19"/>
      <c r="AL7277" s="19"/>
    </row>
    <row r="7278" spans="1:38" s="11" customFormat="1" x14ac:dyDescent="0.25">
      <c r="A7278" s="3"/>
      <c r="F7278" s="19"/>
      <c r="G7278" s="19"/>
      <c r="N7278" s="19"/>
      <c r="P7278" s="19"/>
      <c r="AL7278" s="19"/>
    </row>
    <row r="7279" spans="1:38" s="11" customFormat="1" x14ac:dyDescent="0.25">
      <c r="A7279" s="3"/>
      <c r="F7279" s="19"/>
      <c r="G7279" s="19"/>
      <c r="N7279" s="19"/>
      <c r="P7279" s="19"/>
      <c r="AL7279" s="19"/>
    </row>
    <row r="7280" spans="1:38" s="11" customFormat="1" x14ac:dyDescent="0.25">
      <c r="A7280" s="3"/>
      <c r="F7280" s="19"/>
      <c r="G7280" s="19"/>
      <c r="N7280" s="19"/>
      <c r="P7280" s="19"/>
      <c r="AL7280" s="19"/>
    </row>
    <row r="7281" spans="1:38" s="11" customFormat="1" x14ac:dyDescent="0.25">
      <c r="A7281" s="3"/>
      <c r="F7281" s="19"/>
      <c r="G7281" s="19"/>
      <c r="N7281" s="19"/>
      <c r="P7281" s="19"/>
      <c r="AL7281" s="19"/>
    </row>
    <row r="7282" spans="1:38" s="11" customFormat="1" x14ac:dyDescent="0.25">
      <c r="A7282" s="3"/>
      <c r="F7282" s="19"/>
      <c r="G7282" s="19"/>
      <c r="N7282" s="19"/>
      <c r="P7282" s="19"/>
      <c r="AL7282" s="19"/>
    </row>
    <row r="7283" spans="1:38" s="11" customFormat="1" x14ac:dyDescent="0.25">
      <c r="A7283" s="3"/>
      <c r="F7283" s="19"/>
      <c r="G7283" s="19"/>
      <c r="N7283" s="19"/>
      <c r="P7283" s="19"/>
      <c r="AL7283" s="19"/>
    </row>
    <row r="7284" spans="1:38" s="11" customFormat="1" x14ac:dyDescent="0.25">
      <c r="A7284" s="3"/>
      <c r="F7284" s="19"/>
      <c r="G7284" s="19"/>
      <c r="N7284" s="19"/>
      <c r="P7284" s="19"/>
      <c r="AL7284" s="19"/>
    </row>
    <row r="7285" spans="1:38" s="11" customFormat="1" x14ac:dyDescent="0.25">
      <c r="A7285" s="3"/>
      <c r="F7285" s="19"/>
      <c r="G7285" s="19"/>
      <c r="N7285" s="19"/>
      <c r="P7285" s="19"/>
      <c r="AL7285" s="19"/>
    </row>
    <row r="7286" spans="1:38" s="11" customFormat="1" x14ac:dyDescent="0.25">
      <c r="A7286" s="3"/>
      <c r="F7286" s="19"/>
      <c r="G7286" s="19"/>
      <c r="N7286" s="19"/>
      <c r="P7286" s="19"/>
      <c r="AL7286" s="19"/>
    </row>
    <row r="7287" spans="1:38" s="11" customFormat="1" x14ac:dyDescent="0.25">
      <c r="A7287" s="3"/>
      <c r="F7287" s="19"/>
      <c r="G7287" s="19"/>
      <c r="N7287" s="19"/>
      <c r="P7287" s="19"/>
      <c r="AL7287" s="19"/>
    </row>
    <row r="7288" spans="1:38" s="11" customFormat="1" x14ac:dyDescent="0.25">
      <c r="A7288" s="3"/>
      <c r="F7288" s="19"/>
      <c r="G7288" s="19"/>
      <c r="N7288" s="19"/>
      <c r="P7288" s="19"/>
      <c r="AL7288" s="19"/>
    </row>
    <row r="7289" spans="1:38" s="11" customFormat="1" x14ac:dyDescent="0.25">
      <c r="A7289" s="3"/>
      <c r="F7289" s="19"/>
      <c r="G7289" s="19"/>
      <c r="N7289" s="19"/>
      <c r="P7289" s="19"/>
      <c r="AL7289" s="19"/>
    </row>
    <row r="7290" spans="1:38" s="11" customFormat="1" x14ac:dyDescent="0.25">
      <c r="A7290" s="3"/>
      <c r="F7290" s="19"/>
      <c r="G7290" s="19"/>
      <c r="N7290" s="19"/>
      <c r="P7290" s="19"/>
      <c r="AL7290" s="19"/>
    </row>
    <row r="7291" spans="1:38" s="11" customFormat="1" x14ac:dyDescent="0.25">
      <c r="A7291" s="3"/>
      <c r="F7291" s="19"/>
      <c r="G7291" s="19"/>
      <c r="N7291" s="19"/>
      <c r="P7291" s="19"/>
      <c r="AL7291" s="19"/>
    </row>
    <row r="7292" spans="1:38" s="11" customFormat="1" x14ac:dyDescent="0.25">
      <c r="A7292" s="3"/>
      <c r="F7292" s="19"/>
      <c r="G7292" s="19"/>
      <c r="N7292" s="19"/>
      <c r="P7292" s="19"/>
      <c r="AL7292" s="19"/>
    </row>
    <row r="7293" spans="1:38" s="11" customFormat="1" x14ac:dyDescent="0.25">
      <c r="A7293" s="3"/>
      <c r="F7293" s="19"/>
      <c r="G7293" s="19"/>
      <c r="N7293" s="19"/>
      <c r="P7293" s="19"/>
      <c r="AL7293" s="19"/>
    </row>
    <row r="7294" spans="1:38" s="11" customFormat="1" x14ac:dyDescent="0.25">
      <c r="A7294" s="3"/>
      <c r="F7294" s="19"/>
      <c r="G7294" s="19"/>
      <c r="N7294" s="19"/>
      <c r="P7294" s="19"/>
      <c r="AL7294" s="19"/>
    </row>
    <row r="7295" spans="1:38" s="11" customFormat="1" x14ac:dyDescent="0.25">
      <c r="A7295" s="3"/>
      <c r="F7295" s="19"/>
      <c r="G7295" s="19"/>
      <c r="N7295" s="19"/>
      <c r="P7295" s="19"/>
      <c r="AL7295" s="19"/>
    </row>
    <row r="7296" spans="1:38" s="11" customFormat="1" x14ac:dyDescent="0.25">
      <c r="A7296" s="3"/>
      <c r="F7296" s="19"/>
      <c r="G7296" s="19"/>
      <c r="N7296" s="19"/>
      <c r="P7296" s="19"/>
      <c r="AL7296" s="19"/>
    </row>
    <row r="7297" spans="1:38" s="11" customFormat="1" x14ac:dyDescent="0.25">
      <c r="A7297" s="3"/>
      <c r="F7297" s="19"/>
      <c r="G7297" s="19"/>
      <c r="N7297" s="19"/>
      <c r="P7297" s="19"/>
      <c r="AL7297" s="19"/>
    </row>
    <row r="7298" spans="1:38" s="11" customFormat="1" x14ac:dyDescent="0.25">
      <c r="A7298" s="3"/>
      <c r="F7298" s="19"/>
      <c r="G7298" s="19"/>
      <c r="N7298" s="19"/>
      <c r="P7298" s="19"/>
      <c r="AL7298" s="19"/>
    </row>
    <row r="7299" spans="1:38" s="11" customFormat="1" x14ac:dyDescent="0.25">
      <c r="A7299" s="3"/>
      <c r="F7299" s="19"/>
      <c r="G7299" s="19"/>
      <c r="N7299" s="19"/>
      <c r="P7299" s="19"/>
      <c r="AL7299" s="19"/>
    </row>
    <row r="7300" spans="1:38" s="11" customFormat="1" x14ac:dyDescent="0.25">
      <c r="A7300" s="3"/>
      <c r="F7300" s="19"/>
      <c r="G7300" s="19"/>
      <c r="N7300" s="19"/>
      <c r="P7300" s="19"/>
      <c r="AL7300" s="19"/>
    </row>
    <row r="7301" spans="1:38" s="11" customFormat="1" x14ac:dyDescent="0.25">
      <c r="A7301" s="3"/>
      <c r="F7301" s="19"/>
      <c r="G7301" s="19"/>
      <c r="N7301" s="19"/>
      <c r="P7301" s="19"/>
      <c r="AL7301" s="19"/>
    </row>
    <row r="7302" spans="1:38" s="11" customFormat="1" x14ac:dyDescent="0.25">
      <c r="A7302" s="3"/>
      <c r="F7302" s="19"/>
      <c r="G7302" s="19"/>
      <c r="N7302" s="19"/>
      <c r="P7302" s="19"/>
      <c r="AL7302" s="19"/>
    </row>
    <row r="7303" spans="1:38" s="11" customFormat="1" x14ac:dyDescent="0.25">
      <c r="A7303" s="3"/>
      <c r="F7303" s="19"/>
      <c r="G7303" s="19"/>
      <c r="N7303" s="19"/>
      <c r="P7303" s="19"/>
      <c r="AL7303" s="19"/>
    </row>
    <row r="7304" spans="1:38" s="11" customFormat="1" x14ac:dyDescent="0.25">
      <c r="A7304" s="3"/>
      <c r="F7304" s="19"/>
      <c r="G7304" s="19"/>
      <c r="N7304" s="19"/>
      <c r="P7304" s="19"/>
      <c r="AL7304" s="19"/>
    </row>
    <row r="7305" spans="1:38" s="11" customFormat="1" x14ac:dyDescent="0.25">
      <c r="A7305" s="3"/>
      <c r="F7305" s="19"/>
      <c r="G7305" s="19"/>
      <c r="N7305" s="19"/>
      <c r="P7305" s="19"/>
      <c r="AL7305" s="19"/>
    </row>
    <row r="7306" spans="1:38" s="11" customFormat="1" x14ac:dyDescent="0.25">
      <c r="A7306" s="3"/>
      <c r="F7306" s="19"/>
      <c r="G7306" s="19"/>
      <c r="N7306" s="19"/>
      <c r="P7306" s="19"/>
      <c r="AL7306" s="19"/>
    </row>
    <row r="7307" spans="1:38" s="11" customFormat="1" x14ac:dyDescent="0.25">
      <c r="A7307" s="3"/>
      <c r="F7307" s="19"/>
      <c r="G7307" s="19"/>
      <c r="N7307" s="19"/>
      <c r="P7307" s="19"/>
      <c r="AL7307" s="19"/>
    </row>
    <row r="7308" spans="1:38" s="11" customFormat="1" x14ac:dyDescent="0.25">
      <c r="A7308" s="3"/>
      <c r="F7308" s="19"/>
      <c r="G7308" s="19"/>
      <c r="N7308" s="19"/>
      <c r="P7308" s="19"/>
      <c r="AL7308" s="19"/>
    </row>
    <row r="7309" spans="1:38" s="11" customFormat="1" x14ac:dyDescent="0.25">
      <c r="A7309" s="3"/>
      <c r="F7309" s="19"/>
      <c r="G7309" s="19"/>
      <c r="N7309" s="19"/>
      <c r="P7309" s="19"/>
      <c r="AL7309" s="19"/>
    </row>
    <row r="7310" spans="1:38" s="11" customFormat="1" x14ac:dyDescent="0.25">
      <c r="A7310" s="3"/>
      <c r="F7310" s="19"/>
      <c r="G7310" s="19"/>
      <c r="N7310" s="19"/>
      <c r="P7310" s="19"/>
      <c r="AL7310" s="19"/>
    </row>
    <row r="7311" spans="1:38" s="11" customFormat="1" x14ac:dyDescent="0.25">
      <c r="A7311" s="3"/>
      <c r="F7311" s="19"/>
      <c r="G7311" s="19"/>
      <c r="N7311" s="19"/>
      <c r="P7311" s="19"/>
      <c r="AL7311" s="19"/>
    </row>
    <row r="7312" spans="1:38" s="11" customFormat="1" x14ac:dyDescent="0.25">
      <c r="A7312" s="3"/>
      <c r="F7312" s="19"/>
      <c r="G7312" s="19"/>
      <c r="N7312" s="19"/>
      <c r="P7312" s="19"/>
      <c r="AL7312" s="19"/>
    </row>
    <row r="7313" spans="1:38" s="11" customFormat="1" x14ac:dyDescent="0.25">
      <c r="A7313" s="3"/>
      <c r="F7313" s="19"/>
      <c r="G7313" s="19"/>
      <c r="N7313" s="19"/>
      <c r="P7313" s="19"/>
      <c r="AL7313" s="19"/>
    </row>
    <row r="7314" spans="1:38" s="11" customFormat="1" x14ac:dyDescent="0.25">
      <c r="A7314" s="3"/>
      <c r="F7314" s="19"/>
      <c r="G7314" s="19"/>
      <c r="N7314" s="19"/>
      <c r="P7314" s="19"/>
      <c r="AL7314" s="19"/>
    </row>
    <row r="7315" spans="1:38" s="11" customFormat="1" x14ac:dyDescent="0.25">
      <c r="A7315" s="3"/>
      <c r="F7315" s="19"/>
      <c r="G7315" s="19"/>
      <c r="N7315" s="19"/>
      <c r="P7315" s="19"/>
      <c r="AL7315" s="19"/>
    </row>
    <row r="7316" spans="1:38" s="11" customFormat="1" x14ac:dyDescent="0.25">
      <c r="A7316" s="3"/>
      <c r="F7316" s="19"/>
      <c r="G7316" s="19"/>
      <c r="N7316" s="19"/>
      <c r="P7316" s="19"/>
      <c r="AL7316" s="19"/>
    </row>
    <row r="7317" spans="1:38" s="11" customFormat="1" x14ac:dyDescent="0.25">
      <c r="A7317" s="3"/>
      <c r="F7317" s="19"/>
      <c r="G7317" s="19"/>
      <c r="N7317" s="19"/>
      <c r="P7317" s="19"/>
      <c r="AL7317" s="19"/>
    </row>
    <row r="7318" spans="1:38" s="11" customFormat="1" x14ac:dyDescent="0.25">
      <c r="A7318" s="3"/>
      <c r="F7318" s="19"/>
      <c r="G7318" s="19"/>
      <c r="N7318" s="19"/>
      <c r="P7318" s="19"/>
      <c r="AL7318" s="19"/>
    </row>
    <row r="7319" spans="1:38" s="11" customFormat="1" x14ac:dyDescent="0.25">
      <c r="A7319" s="3"/>
      <c r="F7319" s="19"/>
      <c r="G7319" s="19"/>
      <c r="N7319" s="19"/>
      <c r="P7319" s="19"/>
      <c r="AL7319" s="19"/>
    </row>
    <row r="7320" spans="1:38" s="11" customFormat="1" x14ac:dyDescent="0.25">
      <c r="A7320" s="3"/>
      <c r="F7320" s="19"/>
      <c r="G7320" s="19"/>
      <c r="N7320" s="19"/>
      <c r="P7320" s="19"/>
      <c r="AL7320" s="19"/>
    </row>
    <row r="7321" spans="1:38" s="11" customFormat="1" x14ac:dyDescent="0.25">
      <c r="A7321" s="3"/>
      <c r="F7321" s="19"/>
      <c r="G7321" s="19"/>
      <c r="N7321" s="19"/>
      <c r="P7321" s="19"/>
      <c r="AL7321" s="19"/>
    </row>
    <row r="7322" spans="1:38" s="11" customFormat="1" x14ac:dyDescent="0.25">
      <c r="A7322" s="3"/>
      <c r="F7322" s="19"/>
      <c r="G7322" s="19"/>
      <c r="N7322" s="19"/>
      <c r="P7322" s="19"/>
      <c r="AL7322" s="19"/>
    </row>
    <row r="7323" spans="1:38" s="11" customFormat="1" x14ac:dyDescent="0.25">
      <c r="A7323" s="3"/>
      <c r="F7323" s="19"/>
      <c r="G7323" s="19"/>
      <c r="N7323" s="19"/>
      <c r="P7323" s="19"/>
      <c r="AL7323" s="19"/>
    </row>
    <row r="7324" spans="1:38" s="11" customFormat="1" x14ac:dyDescent="0.25">
      <c r="A7324" s="3"/>
      <c r="F7324" s="19"/>
      <c r="G7324" s="19"/>
      <c r="N7324" s="19"/>
      <c r="P7324" s="19"/>
      <c r="AL7324" s="19"/>
    </row>
    <row r="7325" spans="1:38" s="11" customFormat="1" x14ac:dyDescent="0.25">
      <c r="A7325" s="3"/>
      <c r="F7325" s="19"/>
      <c r="G7325" s="19"/>
      <c r="N7325" s="19"/>
      <c r="P7325" s="19"/>
      <c r="AL7325" s="19"/>
    </row>
    <row r="7326" spans="1:38" s="11" customFormat="1" x14ac:dyDescent="0.25">
      <c r="A7326" s="3"/>
      <c r="F7326" s="19"/>
      <c r="G7326" s="19"/>
      <c r="N7326" s="19"/>
      <c r="P7326" s="19"/>
      <c r="AL7326" s="19"/>
    </row>
    <row r="7327" spans="1:38" s="11" customFormat="1" x14ac:dyDescent="0.25">
      <c r="A7327" s="3"/>
      <c r="F7327" s="19"/>
      <c r="G7327" s="19"/>
      <c r="N7327" s="19"/>
      <c r="P7327" s="19"/>
      <c r="AL7327" s="19"/>
    </row>
    <row r="7328" spans="1:38" s="11" customFormat="1" x14ac:dyDescent="0.25">
      <c r="A7328" s="3"/>
      <c r="F7328" s="19"/>
      <c r="G7328" s="19"/>
      <c r="N7328" s="19"/>
      <c r="P7328" s="19"/>
      <c r="AL7328" s="19"/>
    </row>
    <row r="7329" spans="1:38" s="11" customFormat="1" x14ac:dyDescent="0.25">
      <c r="A7329" s="3"/>
      <c r="F7329" s="19"/>
      <c r="G7329" s="19"/>
      <c r="N7329" s="19"/>
      <c r="P7329" s="19"/>
      <c r="AL7329" s="19"/>
    </row>
    <row r="7330" spans="1:38" s="11" customFormat="1" x14ac:dyDescent="0.25">
      <c r="A7330" s="3"/>
      <c r="F7330" s="19"/>
      <c r="G7330" s="19"/>
      <c r="N7330" s="19"/>
      <c r="P7330" s="19"/>
      <c r="AL7330" s="19"/>
    </row>
    <row r="7331" spans="1:38" s="11" customFormat="1" x14ac:dyDescent="0.25">
      <c r="A7331" s="3"/>
      <c r="F7331" s="19"/>
      <c r="G7331" s="19"/>
      <c r="N7331" s="19"/>
      <c r="P7331" s="19"/>
      <c r="AL7331" s="19"/>
    </row>
    <row r="7332" spans="1:38" s="11" customFormat="1" x14ac:dyDescent="0.25">
      <c r="A7332" s="3"/>
      <c r="F7332" s="19"/>
      <c r="G7332" s="19"/>
      <c r="N7332" s="19"/>
      <c r="P7332" s="19"/>
      <c r="AL7332" s="19"/>
    </row>
    <row r="7333" spans="1:38" s="11" customFormat="1" x14ac:dyDescent="0.25">
      <c r="A7333" s="3"/>
      <c r="F7333" s="19"/>
      <c r="G7333" s="19"/>
      <c r="N7333" s="19"/>
      <c r="P7333" s="19"/>
      <c r="AL7333" s="19"/>
    </row>
    <row r="7334" spans="1:38" s="11" customFormat="1" x14ac:dyDescent="0.25">
      <c r="A7334" s="3"/>
      <c r="F7334" s="19"/>
      <c r="G7334" s="19"/>
      <c r="N7334" s="19"/>
      <c r="P7334" s="19"/>
      <c r="AL7334" s="19"/>
    </row>
    <row r="7335" spans="1:38" s="11" customFormat="1" x14ac:dyDescent="0.25">
      <c r="A7335" s="3"/>
      <c r="F7335" s="19"/>
      <c r="G7335" s="19"/>
      <c r="N7335" s="19"/>
      <c r="P7335" s="19"/>
      <c r="AL7335" s="19"/>
    </row>
    <row r="7336" spans="1:38" s="11" customFormat="1" x14ac:dyDescent="0.25">
      <c r="A7336" s="3"/>
      <c r="F7336" s="19"/>
      <c r="G7336" s="19"/>
      <c r="N7336" s="19"/>
      <c r="P7336" s="19"/>
      <c r="AL7336" s="19"/>
    </row>
    <row r="7337" spans="1:38" s="11" customFormat="1" x14ac:dyDescent="0.25">
      <c r="A7337" s="3"/>
      <c r="F7337" s="19"/>
      <c r="G7337" s="19"/>
      <c r="N7337" s="19"/>
      <c r="P7337" s="19"/>
      <c r="AL7337" s="19"/>
    </row>
    <row r="7338" spans="1:38" s="11" customFormat="1" x14ac:dyDescent="0.25">
      <c r="A7338" s="3"/>
      <c r="F7338" s="19"/>
      <c r="G7338" s="19"/>
      <c r="N7338" s="19"/>
      <c r="P7338" s="19"/>
      <c r="AL7338" s="19"/>
    </row>
    <row r="7339" spans="1:38" s="11" customFormat="1" x14ac:dyDescent="0.25">
      <c r="A7339" s="3"/>
      <c r="F7339" s="19"/>
      <c r="G7339" s="19"/>
      <c r="N7339" s="19"/>
      <c r="P7339" s="19"/>
      <c r="AL7339" s="19"/>
    </row>
    <row r="7340" spans="1:38" s="11" customFormat="1" x14ac:dyDescent="0.25">
      <c r="A7340" s="3"/>
      <c r="F7340" s="19"/>
      <c r="G7340" s="19"/>
      <c r="N7340" s="19"/>
      <c r="P7340" s="19"/>
      <c r="AL7340" s="19"/>
    </row>
    <row r="7341" spans="1:38" s="11" customFormat="1" x14ac:dyDescent="0.25">
      <c r="A7341" s="3"/>
      <c r="F7341" s="19"/>
      <c r="G7341" s="19"/>
      <c r="N7341" s="19"/>
      <c r="P7341" s="19"/>
      <c r="AL7341" s="19"/>
    </row>
    <row r="7342" spans="1:38" s="11" customFormat="1" x14ac:dyDescent="0.25">
      <c r="A7342" s="3"/>
      <c r="F7342" s="19"/>
      <c r="G7342" s="19"/>
      <c r="N7342" s="19"/>
      <c r="P7342" s="19"/>
      <c r="AL7342" s="19"/>
    </row>
    <row r="7343" spans="1:38" s="11" customFormat="1" x14ac:dyDescent="0.25">
      <c r="A7343" s="3"/>
      <c r="F7343" s="19"/>
      <c r="G7343" s="19"/>
      <c r="N7343" s="19"/>
      <c r="P7343" s="19"/>
      <c r="AL7343" s="19"/>
    </row>
    <row r="7344" spans="1:38" s="11" customFormat="1" x14ac:dyDescent="0.25">
      <c r="A7344" s="3"/>
      <c r="F7344" s="19"/>
      <c r="G7344" s="19"/>
      <c r="N7344" s="19"/>
      <c r="P7344" s="19"/>
      <c r="AL7344" s="19"/>
    </row>
    <row r="7345" spans="1:38" s="11" customFormat="1" x14ac:dyDescent="0.25">
      <c r="A7345" s="3"/>
      <c r="F7345" s="19"/>
      <c r="G7345" s="19"/>
      <c r="N7345" s="19"/>
      <c r="P7345" s="19"/>
      <c r="AL7345" s="19"/>
    </row>
    <row r="7346" spans="1:38" s="11" customFormat="1" x14ac:dyDescent="0.25">
      <c r="A7346" s="3"/>
      <c r="F7346" s="19"/>
      <c r="G7346" s="19"/>
      <c r="N7346" s="19"/>
      <c r="P7346" s="19"/>
      <c r="AL7346" s="19"/>
    </row>
    <row r="7347" spans="1:38" s="11" customFormat="1" x14ac:dyDescent="0.25">
      <c r="A7347" s="3"/>
      <c r="F7347" s="19"/>
      <c r="G7347" s="19"/>
      <c r="N7347" s="19"/>
      <c r="P7347" s="19"/>
      <c r="AL7347" s="19"/>
    </row>
    <row r="7348" spans="1:38" s="11" customFormat="1" x14ac:dyDescent="0.25">
      <c r="A7348" s="3"/>
      <c r="F7348" s="19"/>
      <c r="G7348" s="19"/>
      <c r="N7348" s="19"/>
      <c r="P7348" s="19"/>
      <c r="AL7348" s="19"/>
    </row>
    <row r="7349" spans="1:38" s="11" customFormat="1" x14ac:dyDescent="0.25">
      <c r="A7349" s="3"/>
      <c r="F7349" s="19"/>
      <c r="G7349" s="19"/>
      <c r="N7349" s="19"/>
      <c r="P7349" s="19"/>
      <c r="AL7349" s="19"/>
    </row>
    <row r="7350" spans="1:38" s="11" customFormat="1" x14ac:dyDescent="0.25">
      <c r="A7350" s="3"/>
      <c r="F7350" s="19"/>
      <c r="G7350" s="19"/>
      <c r="N7350" s="19"/>
      <c r="P7350" s="19"/>
      <c r="AL7350" s="19"/>
    </row>
    <row r="7351" spans="1:38" s="11" customFormat="1" x14ac:dyDescent="0.25">
      <c r="A7351" s="3"/>
      <c r="F7351" s="19"/>
      <c r="G7351" s="19"/>
      <c r="N7351" s="19"/>
      <c r="P7351" s="19"/>
      <c r="AL7351" s="19"/>
    </row>
    <row r="7352" spans="1:38" s="11" customFormat="1" x14ac:dyDescent="0.25">
      <c r="A7352" s="3"/>
      <c r="F7352" s="19"/>
      <c r="G7352" s="19"/>
      <c r="N7352" s="19"/>
      <c r="P7352" s="19"/>
      <c r="AL7352" s="19"/>
    </row>
    <row r="7353" spans="1:38" s="11" customFormat="1" x14ac:dyDescent="0.25">
      <c r="A7353" s="3"/>
      <c r="F7353" s="19"/>
      <c r="G7353" s="19"/>
      <c r="N7353" s="19"/>
      <c r="P7353" s="19"/>
      <c r="AL7353" s="19"/>
    </row>
    <row r="7354" spans="1:38" s="11" customFormat="1" x14ac:dyDescent="0.25">
      <c r="A7354" s="3"/>
      <c r="F7354" s="19"/>
      <c r="G7354" s="19"/>
      <c r="N7354" s="19"/>
      <c r="P7354" s="19"/>
      <c r="AL7354" s="19"/>
    </row>
    <row r="7355" spans="1:38" s="11" customFormat="1" x14ac:dyDescent="0.25">
      <c r="A7355" s="3"/>
      <c r="F7355" s="19"/>
      <c r="G7355" s="19"/>
      <c r="N7355" s="19"/>
      <c r="P7355" s="19"/>
      <c r="AL7355" s="19"/>
    </row>
    <row r="7356" spans="1:38" s="11" customFormat="1" x14ac:dyDescent="0.25">
      <c r="A7356" s="3"/>
      <c r="F7356" s="19"/>
      <c r="G7356" s="19"/>
      <c r="N7356" s="19"/>
      <c r="P7356" s="19"/>
      <c r="AL7356" s="19"/>
    </row>
    <row r="7357" spans="1:38" s="11" customFormat="1" x14ac:dyDescent="0.25">
      <c r="A7357" s="3"/>
      <c r="F7357" s="19"/>
      <c r="G7357" s="19"/>
      <c r="N7357" s="19"/>
      <c r="P7357" s="19"/>
      <c r="AL7357" s="19"/>
    </row>
    <row r="7358" spans="1:38" s="11" customFormat="1" x14ac:dyDescent="0.25">
      <c r="A7358" s="3"/>
      <c r="F7358" s="19"/>
      <c r="G7358" s="19"/>
      <c r="N7358" s="19"/>
      <c r="P7358" s="19"/>
      <c r="AL7358" s="19"/>
    </row>
    <row r="7359" spans="1:38" s="11" customFormat="1" x14ac:dyDescent="0.25">
      <c r="A7359" s="3"/>
      <c r="F7359" s="19"/>
      <c r="G7359" s="19"/>
      <c r="N7359" s="19"/>
      <c r="P7359" s="19"/>
      <c r="AL7359" s="19"/>
    </row>
    <row r="7360" spans="1:38" s="11" customFormat="1" x14ac:dyDescent="0.25">
      <c r="A7360" s="3"/>
      <c r="F7360" s="19"/>
      <c r="G7360" s="19"/>
      <c r="N7360" s="19"/>
      <c r="P7360" s="19"/>
      <c r="AL7360" s="19"/>
    </row>
    <row r="7361" spans="1:38" s="11" customFormat="1" x14ac:dyDescent="0.25">
      <c r="A7361" s="3"/>
      <c r="F7361" s="19"/>
      <c r="G7361" s="19"/>
      <c r="N7361" s="19"/>
      <c r="P7361" s="19"/>
      <c r="AL7361" s="19"/>
    </row>
    <row r="7362" spans="1:38" s="11" customFormat="1" x14ac:dyDescent="0.25">
      <c r="A7362" s="3"/>
      <c r="F7362" s="19"/>
      <c r="G7362" s="19"/>
      <c r="N7362" s="19"/>
      <c r="P7362" s="19"/>
      <c r="AL7362" s="19"/>
    </row>
    <row r="7363" spans="1:38" s="11" customFormat="1" x14ac:dyDescent="0.25">
      <c r="A7363" s="3"/>
      <c r="F7363" s="19"/>
      <c r="G7363" s="19"/>
      <c r="N7363" s="19"/>
      <c r="P7363" s="19"/>
      <c r="AL7363" s="19"/>
    </row>
    <row r="7364" spans="1:38" s="11" customFormat="1" x14ac:dyDescent="0.25">
      <c r="A7364" s="3"/>
      <c r="F7364" s="19"/>
      <c r="G7364" s="19"/>
      <c r="N7364" s="19"/>
      <c r="P7364" s="19"/>
      <c r="AL7364" s="19"/>
    </row>
    <row r="7365" spans="1:38" s="11" customFormat="1" x14ac:dyDescent="0.25">
      <c r="A7365" s="3"/>
      <c r="F7365" s="19"/>
      <c r="G7365" s="19"/>
      <c r="N7365" s="19"/>
      <c r="P7365" s="19"/>
      <c r="AL7365" s="19"/>
    </row>
    <row r="7366" spans="1:38" s="11" customFormat="1" x14ac:dyDescent="0.25">
      <c r="A7366" s="3"/>
      <c r="F7366" s="19"/>
      <c r="G7366" s="19"/>
      <c r="N7366" s="19"/>
      <c r="P7366" s="19"/>
      <c r="AL7366" s="19"/>
    </row>
    <row r="7367" spans="1:38" s="11" customFormat="1" x14ac:dyDescent="0.25">
      <c r="A7367" s="3"/>
      <c r="F7367" s="19"/>
      <c r="G7367" s="19"/>
      <c r="N7367" s="19"/>
      <c r="P7367" s="19"/>
      <c r="AL7367" s="19"/>
    </row>
    <row r="7368" spans="1:38" s="11" customFormat="1" x14ac:dyDescent="0.25">
      <c r="A7368" s="3"/>
      <c r="F7368" s="19"/>
      <c r="G7368" s="19"/>
      <c r="N7368" s="19"/>
      <c r="P7368" s="19"/>
      <c r="AL7368" s="19"/>
    </row>
    <row r="7369" spans="1:38" s="11" customFormat="1" x14ac:dyDescent="0.25">
      <c r="A7369" s="3"/>
      <c r="F7369" s="19"/>
      <c r="G7369" s="19"/>
      <c r="N7369" s="19"/>
      <c r="P7369" s="19"/>
      <c r="AL7369" s="19"/>
    </row>
    <row r="7370" spans="1:38" s="11" customFormat="1" x14ac:dyDescent="0.25">
      <c r="A7370" s="3"/>
      <c r="F7370" s="19"/>
      <c r="G7370" s="19"/>
      <c r="N7370" s="19"/>
      <c r="P7370" s="19"/>
      <c r="AL7370" s="19"/>
    </row>
    <row r="7371" spans="1:38" s="11" customFormat="1" x14ac:dyDescent="0.25">
      <c r="A7371" s="3"/>
      <c r="F7371" s="19"/>
      <c r="G7371" s="19"/>
      <c r="N7371" s="19"/>
      <c r="P7371" s="19"/>
      <c r="AL7371" s="19"/>
    </row>
    <row r="7372" spans="1:38" s="11" customFormat="1" x14ac:dyDescent="0.25">
      <c r="A7372" s="3"/>
      <c r="F7372" s="19"/>
      <c r="G7372" s="19"/>
      <c r="N7372" s="19"/>
      <c r="P7372" s="19"/>
      <c r="AL7372" s="19"/>
    </row>
    <row r="7373" spans="1:38" s="11" customFormat="1" x14ac:dyDescent="0.25">
      <c r="A7373" s="3"/>
      <c r="F7373" s="19"/>
      <c r="G7373" s="19"/>
      <c r="N7373" s="19"/>
      <c r="P7373" s="19"/>
      <c r="AL7373" s="19"/>
    </row>
    <row r="7374" spans="1:38" s="11" customFormat="1" x14ac:dyDescent="0.25">
      <c r="A7374" s="3"/>
      <c r="F7374" s="19"/>
      <c r="G7374" s="19"/>
      <c r="N7374" s="19"/>
      <c r="P7374" s="19"/>
      <c r="AL7374" s="19"/>
    </row>
    <row r="7375" spans="1:38" s="11" customFormat="1" x14ac:dyDescent="0.25">
      <c r="A7375" s="3"/>
      <c r="F7375" s="19"/>
      <c r="G7375" s="19"/>
      <c r="N7375" s="19"/>
      <c r="P7375" s="19"/>
      <c r="AL7375" s="19"/>
    </row>
    <row r="7376" spans="1:38" s="11" customFormat="1" x14ac:dyDescent="0.25">
      <c r="A7376" s="3"/>
      <c r="F7376" s="19"/>
      <c r="G7376" s="19"/>
      <c r="N7376" s="19"/>
      <c r="P7376" s="19"/>
      <c r="AL7376" s="19"/>
    </row>
    <row r="7377" spans="1:38" s="11" customFormat="1" x14ac:dyDescent="0.25">
      <c r="A7377" s="3"/>
      <c r="F7377" s="19"/>
      <c r="G7377" s="19"/>
      <c r="N7377" s="19"/>
      <c r="P7377" s="19"/>
      <c r="AL7377" s="19"/>
    </row>
    <row r="7378" spans="1:38" s="11" customFormat="1" x14ac:dyDescent="0.25">
      <c r="A7378" s="3"/>
      <c r="F7378" s="19"/>
      <c r="G7378" s="19"/>
      <c r="N7378" s="19"/>
      <c r="P7378" s="19"/>
      <c r="AL7378" s="19"/>
    </row>
    <row r="7379" spans="1:38" s="11" customFormat="1" x14ac:dyDescent="0.25">
      <c r="A7379" s="3"/>
      <c r="F7379" s="19"/>
      <c r="G7379" s="19"/>
      <c r="N7379" s="19"/>
      <c r="P7379" s="19"/>
      <c r="AL7379" s="19"/>
    </row>
    <row r="7380" spans="1:38" s="11" customFormat="1" x14ac:dyDescent="0.25">
      <c r="A7380" s="3"/>
      <c r="F7380" s="19"/>
      <c r="G7380" s="19"/>
      <c r="N7380" s="19"/>
      <c r="P7380" s="19"/>
      <c r="AL7380" s="19"/>
    </row>
    <row r="7381" spans="1:38" s="11" customFormat="1" x14ac:dyDescent="0.25">
      <c r="A7381" s="3"/>
      <c r="F7381" s="19"/>
      <c r="G7381" s="19"/>
      <c r="N7381" s="19"/>
      <c r="P7381" s="19"/>
      <c r="AL7381" s="19"/>
    </row>
    <row r="7382" spans="1:38" s="11" customFormat="1" x14ac:dyDescent="0.25">
      <c r="A7382" s="3"/>
      <c r="F7382" s="19"/>
      <c r="G7382" s="19"/>
      <c r="N7382" s="19"/>
      <c r="P7382" s="19"/>
      <c r="AL7382" s="19"/>
    </row>
    <row r="7383" spans="1:38" s="11" customFormat="1" x14ac:dyDescent="0.25">
      <c r="A7383" s="3"/>
      <c r="F7383" s="19"/>
      <c r="G7383" s="19"/>
      <c r="N7383" s="19"/>
      <c r="P7383" s="19"/>
      <c r="AL7383" s="19"/>
    </row>
    <row r="7384" spans="1:38" s="11" customFormat="1" x14ac:dyDescent="0.25">
      <c r="A7384" s="3"/>
      <c r="F7384" s="19"/>
      <c r="G7384" s="19"/>
      <c r="N7384" s="19"/>
      <c r="P7384" s="19"/>
      <c r="AL7384" s="19"/>
    </row>
    <row r="7385" spans="1:38" s="11" customFormat="1" x14ac:dyDescent="0.25">
      <c r="A7385" s="3"/>
      <c r="F7385" s="19"/>
      <c r="G7385" s="19"/>
      <c r="N7385" s="19"/>
      <c r="P7385" s="19"/>
      <c r="AL7385" s="19"/>
    </row>
    <row r="7386" spans="1:38" s="11" customFormat="1" x14ac:dyDescent="0.25">
      <c r="A7386" s="3"/>
      <c r="F7386" s="19"/>
      <c r="G7386" s="19"/>
      <c r="N7386" s="19"/>
      <c r="P7386" s="19"/>
      <c r="AL7386" s="19"/>
    </row>
    <row r="7387" spans="1:38" s="11" customFormat="1" x14ac:dyDescent="0.25">
      <c r="A7387" s="3"/>
      <c r="F7387" s="19"/>
      <c r="G7387" s="19"/>
      <c r="N7387" s="19"/>
      <c r="P7387" s="19"/>
      <c r="AL7387" s="19"/>
    </row>
    <row r="7388" spans="1:38" s="11" customFormat="1" x14ac:dyDescent="0.25">
      <c r="A7388" s="3"/>
      <c r="F7388" s="19"/>
      <c r="G7388" s="19"/>
      <c r="N7388" s="19"/>
      <c r="P7388" s="19"/>
      <c r="AL7388" s="19"/>
    </row>
    <row r="7389" spans="1:38" s="11" customFormat="1" x14ac:dyDescent="0.25">
      <c r="A7389" s="3"/>
      <c r="F7389" s="19"/>
      <c r="G7389" s="19"/>
      <c r="N7389" s="19"/>
      <c r="P7389" s="19"/>
      <c r="AL7389" s="19"/>
    </row>
    <row r="7390" spans="1:38" s="11" customFormat="1" x14ac:dyDescent="0.25">
      <c r="A7390" s="3"/>
      <c r="F7390" s="19"/>
      <c r="G7390" s="19"/>
      <c r="N7390" s="19"/>
      <c r="P7390" s="19"/>
      <c r="AL7390" s="19"/>
    </row>
    <row r="7391" spans="1:38" s="11" customFormat="1" x14ac:dyDescent="0.25">
      <c r="A7391" s="3"/>
      <c r="F7391" s="19"/>
      <c r="G7391" s="19"/>
      <c r="N7391" s="19"/>
      <c r="P7391" s="19"/>
      <c r="AL7391" s="19"/>
    </row>
    <row r="7392" spans="1:38" s="11" customFormat="1" x14ac:dyDescent="0.25">
      <c r="A7392" s="3"/>
      <c r="F7392" s="19"/>
      <c r="G7392" s="19"/>
      <c r="N7392" s="19"/>
      <c r="P7392" s="19"/>
      <c r="AL7392" s="19"/>
    </row>
    <row r="7393" spans="1:38" s="11" customFormat="1" x14ac:dyDescent="0.25">
      <c r="A7393" s="3"/>
      <c r="F7393" s="19"/>
      <c r="G7393" s="19"/>
      <c r="N7393" s="19"/>
      <c r="P7393" s="19"/>
      <c r="AL7393" s="19"/>
    </row>
    <row r="7394" spans="1:38" s="11" customFormat="1" x14ac:dyDescent="0.25">
      <c r="A7394" s="3"/>
      <c r="F7394" s="19"/>
      <c r="G7394" s="19"/>
      <c r="N7394" s="19"/>
      <c r="P7394" s="19"/>
      <c r="AL7394" s="19"/>
    </row>
    <row r="7395" spans="1:38" s="11" customFormat="1" x14ac:dyDescent="0.25">
      <c r="A7395" s="3"/>
      <c r="F7395" s="19"/>
      <c r="G7395" s="19"/>
      <c r="N7395" s="19"/>
      <c r="P7395" s="19"/>
      <c r="AL7395" s="19"/>
    </row>
    <row r="7396" spans="1:38" s="11" customFormat="1" x14ac:dyDescent="0.25">
      <c r="A7396" s="3"/>
      <c r="F7396" s="19"/>
      <c r="G7396" s="19"/>
      <c r="N7396" s="19"/>
      <c r="P7396" s="19"/>
      <c r="AL7396" s="19"/>
    </row>
    <row r="7397" spans="1:38" s="11" customFormat="1" x14ac:dyDescent="0.25">
      <c r="A7397" s="3"/>
      <c r="F7397" s="19"/>
      <c r="G7397" s="19"/>
      <c r="N7397" s="19"/>
      <c r="P7397" s="19"/>
      <c r="AL7397" s="19"/>
    </row>
    <row r="7398" spans="1:38" s="11" customFormat="1" x14ac:dyDescent="0.25">
      <c r="A7398" s="3"/>
      <c r="F7398" s="19"/>
      <c r="G7398" s="19"/>
      <c r="N7398" s="19"/>
      <c r="P7398" s="19"/>
      <c r="AL7398" s="19"/>
    </row>
    <row r="7399" spans="1:38" s="11" customFormat="1" x14ac:dyDescent="0.25">
      <c r="A7399" s="3"/>
      <c r="F7399" s="19"/>
      <c r="G7399" s="19"/>
      <c r="N7399" s="19"/>
      <c r="P7399" s="19"/>
      <c r="AL7399" s="19"/>
    </row>
    <row r="7400" spans="1:38" s="11" customFormat="1" x14ac:dyDescent="0.25">
      <c r="A7400" s="3"/>
      <c r="F7400" s="19"/>
      <c r="G7400" s="19"/>
      <c r="N7400" s="19"/>
      <c r="P7400" s="19"/>
      <c r="AL7400" s="19"/>
    </row>
    <row r="7401" spans="1:38" s="11" customFormat="1" x14ac:dyDescent="0.25">
      <c r="A7401" s="3"/>
      <c r="F7401" s="19"/>
      <c r="G7401" s="19"/>
      <c r="N7401" s="19"/>
      <c r="P7401" s="19"/>
      <c r="AL7401" s="19"/>
    </row>
    <row r="7402" spans="1:38" s="11" customFormat="1" x14ac:dyDescent="0.25">
      <c r="A7402" s="3"/>
      <c r="F7402" s="19"/>
      <c r="G7402" s="19"/>
      <c r="N7402" s="19"/>
      <c r="P7402" s="19"/>
      <c r="AL7402" s="19"/>
    </row>
    <row r="7403" spans="1:38" s="11" customFormat="1" x14ac:dyDescent="0.25">
      <c r="A7403" s="3"/>
      <c r="F7403" s="19"/>
      <c r="G7403" s="19"/>
      <c r="N7403" s="19"/>
      <c r="P7403" s="19"/>
      <c r="AL7403" s="19"/>
    </row>
    <row r="7404" spans="1:38" s="11" customFormat="1" x14ac:dyDescent="0.25">
      <c r="A7404" s="3"/>
      <c r="F7404" s="19"/>
      <c r="G7404" s="19"/>
      <c r="N7404" s="19"/>
      <c r="P7404" s="19"/>
      <c r="AL7404" s="19"/>
    </row>
    <row r="7405" spans="1:38" s="11" customFormat="1" x14ac:dyDescent="0.25">
      <c r="A7405" s="3"/>
      <c r="F7405" s="19"/>
      <c r="G7405" s="19"/>
      <c r="N7405" s="19"/>
      <c r="P7405" s="19"/>
      <c r="AL7405" s="19"/>
    </row>
    <row r="7406" spans="1:38" s="11" customFormat="1" x14ac:dyDescent="0.25">
      <c r="A7406" s="3"/>
      <c r="F7406" s="19"/>
      <c r="G7406" s="19"/>
      <c r="N7406" s="19"/>
      <c r="P7406" s="19"/>
      <c r="AL7406" s="19"/>
    </row>
    <row r="7407" spans="1:38" s="11" customFormat="1" x14ac:dyDescent="0.25">
      <c r="A7407" s="3"/>
      <c r="F7407" s="19"/>
      <c r="G7407" s="19"/>
      <c r="N7407" s="19"/>
      <c r="P7407" s="19"/>
      <c r="AL7407" s="19"/>
    </row>
    <row r="7408" spans="1:38" s="11" customFormat="1" x14ac:dyDescent="0.25">
      <c r="A7408" s="3"/>
      <c r="F7408" s="19"/>
      <c r="G7408" s="19"/>
      <c r="N7408" s="19"/>
      <c r="P7408" s="19"/>
      <c r="AL7408" s="19"/>
    </row>
    <row r="7409" spans="1:38" s="11" customFormat="1" x14ac:dyDescent="0.25">
      <c r="A7409" s="3"/>
      <c r="F7409" s="19"/>
      <c r="G7409" s="19"/>
      <c r="N7409" s="19"/>
      <c r="P7409" s="19"/>
      <c r="AL7409" s="19"/>
    </row>
    <row r="7410" spans="1:38" s="11" customFormat="1" x14ac:dyDescent="0.25">
      <c r="A7410" s="3"/>
      <c r="F7410" s="19"/>
      <c r="G7410" s="19"/>
      <c r="N7410" s="19"/>
      <c r="P7410" s="19"/>
      <c r="AL7410" s="19"/>
    </row>
    <row r="7411" spans="1:38" s="11" customFormat="1" x14ac:dyDescent="0.25">
      <c r="A7411" s="3"/>
      <c r="F7411" s="19"/>
      <c r="G7411" s="19"/>
      <c r="N7411" s="19"/>
      <c r="P7411" s="19"/>
      <c r="AL7411" s="19"/>
    </row>
    <row r="7412" spans="1:38" s="11" customFormat="1" x14ac:dyDescent="0.25">
      <c r="A7412" s="3"/>
      <c r="F7412" s="19"/>
      <c r="G7412" s="19"/>
      <c r="N7412" s="19"/>
      <c r="P7412" s="19"/>
      <c r="AL7412" s="19"/>
    </row>
    <row r="7413" spans="1:38" s="11" customFormat="1" x14ac:dyDescent="0.25">
      <c r="A7413" s="3"/>
      <c r="F7413" s="19"/>
      <c r="G7413" s="19"/>
      <c r="N7413" s="19"/>
      <c r="P7413" s="19"/>
      <c r="AL7413" s="19"/>
    </row>
    <row r="7414" spans="1:38" s="11" customFormat="1" x14ac:dyDescent="0.25">
      <c r="A7414" s="3"/>
      <c r="F7414" s="19"/>
      <c r="G7414" s="19"/>
      <c r="N7414" s="19"/>
      <c r="P7414" s="19"/>
      <c r="AL7414" s="19"/>
    </row>
    <row r="7415" spans="1:38" s="11" customFormat="1" x14ac:dyDescent="0.25">
      <c r="A7415" s="3"/>
      <c r="F7415" s="19"/>
      <c r="G7415" s="19"/>
      <c r="N7415" s="19"/>
      <c r="P7415" s="19"/>
      <c r="AL7415" s="19"/>
    </row>
    <row r="7416" spans="1:38" s="11" customFormat="1" x14ac:dyDescent="0.25">
      <c r="A7416" s="3"/>
      <c r="F7416" s="19"/>
      <c r="G7416" s="19"/>
      <c r="N7416" s="19"/>
      <c r="P7416" s="19"/>
      <c r="AL7416" s="19"/>
    </row>
    <row r="7417" spans="1:38" s="11" customFormat="1" x14ac:dyDescent="0.25">
      <c r="A7417" s="3"/>
      <c r="F7417" s="19"/>
      <c r="G7417" s="19"/>
      <c r="N7417" s="19"/>
      <c r="P7417" s="19"/>
      <c r="AL7417" s="19"/>
    </row>
    <row r="7418" spans="1:38" s="11" customFormat="1" x14ac:dyDescent="0.25">
      <c r="A7418" s="3"/>
      <c r="F7418" s="19"/>
      <c r="G7418" s="19"/>
      <c r="N7418" s="19"/>
      <c r="P7418" s="19"/>
      <c r="AL7418" s="19"/>
    </row>
    <row r="7419" spans="1:38" s="11" customFormat="1" x14ac:dyDescent="0.25">
      <c r="A7419" s="3"/>
      <c r="F7419" s="19"/>
      <c r="G7419" s="19"/>
      <c r="N7419" s="19"/>
      <c r="P7419" s="19"/>
      <c r="AL7419" s="19"/>
    </row>
    <row r="7420" spans="1:38" s="11" customFormat="1" x14ac:dyDescent="0.25">
      <c r="A7420" s="3"/>
      <c r="F7420" s="19"/>
      <c r="G7420" s="19"/>
      <c r="N7420" s="19"/>
      <c r="P7420" s="19"/>
      <c r="AL7420" s="19"/>
    </row>
    <row r="7421" spans="1:38" s="11" customFormat="1" x14ac:dyDescent="0.25">
      <c r="A7421" s="3"/>
      <c r="F7421" s="19"/>
      <c r="G7421" s="19"/>
      <c r="N7421" s="19"/>
      <c r="P7421" s="19"/>
      <c r="AL7421" s="19"/>
    </row>
    <row r="7422" spans="1:38" s="11" customFormat="1" x14ac:dyDescent="0.25">
      <c r="A7422" s="3"/>
      <c r="F7422" s="19"/>
      <c r="G7422" s="19"/>
      <c r="N7422" s="19"/>
      <c r="P7422" s="19"/>
      <c r="AL7422" s="19"/>
    </row>
    <row r="7423" spans="1:38" s="11" customFormat="1" x14ac:dyDescent="0.25">
      <c r="A7423" s="3"/>
      <c r="F7423" s="19"/>
      <c r="G7423" s="19"/>
      <c r="N7423" s="19"/>
      <c r="P7423" s="19"/>
      <c r="AL7423" s="19"/>
    </row>
    <row r="7424" spans="1:38" s="11" customFormat="1" x14ac:dyDescent="0.25">
      <c r="A7424" s="3"/>
      <c r="F7424" s="19"/>
      <c r="G7424" s="19"/>
      <c r="N7424" s="19"/>
      <c r="P7424" s="19"/>
      <c r="AL7424" s="19"/>
    </row>
    <row r="7425" spans="1:38" s="11" customFormat="1" x14ac:dyDescent="0.25">
      <c r="A7425" s="3"/>
      <c r="F7425" s="19"/>
      <c r="G7425" s="19"/>
      <c r="N7425" s="19"/>
      <c r="P7425" s="19"/>
      <c r="AL7425" s="19"/>
    </row>
    <row r="7426" spans="1:38" s="11" customFormat="1" x14ac:dyDescent="0.25">
      <c r="A7426" s="3"/>
      <c r="F7426" s="19"/>
      <c r="G7426" s="19"/>
      <c r="N7426" s="19"/>
      <c r="P7426" s="19"/>
      <c r="AL7426" s="19"/>
    </row>
    <row r="7427" spans="1:38" s="11" customFormat="1" x14ac:dyDescent="0.25">
      <c r="A7427" s="3"/>
      <c r="F7427" s="19"/>
      <c r="G7427" s="19"/>
      <c r="N7427" s="19"/>
      <c r="P7427" s="19"/>
      <c r="AL7427" s="19"/>
    </row>
    <row r="7428" spans="1:38" s="11" customFormat="1" x14ac:dyDescent="0.25">
      <c r="A7428" s="3"/>
      <c r="F7428" s="19"/>
      <c r="G7428" s="19"/>
      <c r="N7428" s="19"/>
      <c r="P7428" s="19"/>
      <c r="AL7428" s="19"/>
    </row>
    <row r="7429" spans="1:38" s="11" customFormat="1" x14ac:dyDescent="0.25">
      <c r="A7429" s="3"/>
      <c r="F7429" s="19"/>
      <c r="G7429" s="19"/>
      <c r="N7429" s="19"/>
      <c r="P7429" s="19"/>
      <c r="AL7429" s="19"/>
    </row>
    <row r="7430" spans="1:38" s="11" customFormat="1" x14ac:dyDescent="0.25">
      <c r="A7430" s="3"/>
      <c r="F7430" s="19"/>
      <c r="G7430" s="19"/>
      <c r="N7430" s="19"/>
      <c r="P7430" s="19"/>
      <c r="AL7430" s="19"/>
    </row>
    <row r="7431" spans="1:38" s="11" customFormat="1" x14ac:dyDescent="0.25">
      <c r="A7431" s="3"/>
      <c r="F7431" s="19"/>
      <c r="G7431" s="19"/>
      <c r="N7431" s="19"/>
      <c r="P7431" s="19"/>
      <c r="AL7431" s="19"/>
    </row>
    <row r="7432" spans="1:38" s="11" customFormat="1" x14ac:dyDescent="0.25">
      <c r="A7432" s="3"/>
      <c r="F7432" s="19"/>
      <c r="G7432" s="19"/>
      <c r="N7432" s="19"/>
      <c r="P7432" s="19"/>
      <c r="AL7432" s="19"/>
    </row>
    <row r="7433" spans="1:38" s="11" customFormat="1" x14ac:dyDescent="0.25">
      <c r="A7433" s="3"/>
      <c r="F7433" s="19"/>
      <c r="G7433" s="19"/>
      <c r="N7433" s="19"/>
      <c r="P7433" s="19"/>
      <c r="AL7433" s="19"/>
    </row>
    <row r="7434" spans="1:38" s="11" customFormat="1" x14ac:dyDescent="0.25">
      <c r="A7434" s="3"/>
      <c r="F7434" s="19"/>
      <c r="G7434" s="19"/>
      <c r="N7434" s="19"/>
      <c r="P7434" s="19"/>
      <c r="AL7434" s="19"/>
    </row>
    <row r="7435" spans="1:38" s="11" customFormat="1" x14ac:dyDescent="0.25">
      <c r="A7435" s="3"/>
      <c r="F7435" s="19"/>
      <c r="G7435" s="19"/>
      <c r="N7435" s="19"/>
      <c r="P7435" s="19"/>
      <c r="AL7435" s="19"/>
    </row>
    <row r="7436" spans="1:38" s="11" customFormat="1" x14ac:dyDescent="0.25">
      <c r="A7436" s="3"/>
      <c r="F7436" s="19"/>
      <c r="G7436" s="19"/>
      <c r="N7436" s="19"/>
      <c r="P7436" s="19"/>
      <c r="AL7436" s="19"/>
    </row>
    <row r="7437" spans="1:38" s="11" customFormat="1" x14ac:dyDescent="0.25">
      <c r="A7437" s="3"/>
      <c r="F7437" s="19"/>
      <c r="G7437" s="19"/>
      <c r="N7437" s="19"/>
      <c r="P7437" s="19"/>
      <c r="AL7437" s="19"/>
    </row>
    <row r="7438" spans="1:38" s="11" customFormat="1" x14ac:dyDescent="0.25">
      <c r="A7438" s="3"/>
      <c r="F7438" s="19"/>
      <c r="G7438" s="19"/>
      <c r="N7438" s="19"/>
      <c r="P7438" s="19"/>
      <c r="AL7438" s="19"/>
    </row>
    <row r="7439" spans="1:38" s="11" customFormat="1" x14ac:dyDescent="0.25">
      <c r="A7439" s="3"/>
      <c r="F7439" s="19"/>
      <c r="G7439" s="19"/>
      <c r="N7439" s="19"/>
      <c r="P7439" s="19"/>
      <c r="AL7439" s="19"/>
    </row>
    <row r="7440" spans="1:38" s="11" customFormat="1" x14ac:dyDescent="0.25">
      <c r="A7440" s="3"/>
      <c r="F7440" s="19"/>
      <c r="G7440" s="19"/>
      <c r="N7440" s="19"/>
      <c r="P7440" s="19"/>
      <c r="AL7440" s="19"/>
    </row>
    <row r="7441" spans="1:38" s="11" customFormat="1" x14ac:dyDescent="0.25">
      <c r="A7441" s="3"/>
      <c r="F7441" s="19"/>
      <c r="G7441" s="19"/>
      <c r="N7441" s="19"/>
      <c r="P7441" s="19"/>
      <c r="AL7441" s="19"/>
    </row>
    <row r="7442" spans="1:38" s="11" customFormat="1" x14ac:dyDescent="0.25">
      <c r="A7442" s="3"/>
      <c r="F7442" s="19"/>
      <c r="G7442" s="19"/>
      <c r="N7442" s="19"/>
      <c r="P7442" s="19"/>
      <c r="AL7442" s="19"/>
    </row>
    <row r="7443" spans="1:38" s="11" customFormat="1" x14ac:dyDescent="0.25">
      <c r="A7443" s="3"/>
      <c r="F7443" s="19"/>
      <c r="G7443" s="19"/>
      <c r="N7443" s="19"/>
      <c r="P7443" s="19"/>
      <c r="AL7443" s="19"/>
    </row>
    <row r="7444" spans="1:38" s="11" customFormat="1" x14ac:dyDescent="0.25">
      <c r="A7444" s="3"/>
      <c r="F7444" s="19"/>
      <c r="G7444" s="19"/>
      <c r="N7444" s="19"/>
      <c r="P7444" s="19"/>
      <c r="AL7444" s="19"/>
    </row>
    <row r="7445" spans="1:38" s="11" customFormat="1" x14ac:dyDescent="0.25">
      <c r="A7445" s="3"/>
      <c r="F7445" s="19"/>
      <c r="G7445" s="19"/>
      <c r="N7445" s="19"/>
      <c r="P7445" s="19"/>
      <c r="AL7445" s="19"/>
    </row>
    <row r="7446" spans="1:38" s="11" customFormat="1" x14ac:dyDescent="0.25">
      <c r="A7446" s="3"/>
      <c r="F7446" s="19"/>
      <c r="G7446" s="19"/>
      <c r="N7446" s="19"/>
      <c r="P7446" s="19"/>
      <c r="AL7446" s="19"/>
    </row>
    <row r="7447" spans="1:38" s="11" customFormat="1" x14ac:dyDescent="0.25">
      <c r="A7447" s="3"/>
      <c r="F7447" s="19"/>
      <c r="G7447" s="19"/>
      <c r="N7447" s="19"/>
      <c r="P7447" s="19"/>
      <c r="AL7447" s="19"/>
    </row>
    <row r="7448" spans="1:38" s="11" customFormat="1" x14ac:dyDescent="0.25">
      <c r="A7448" s="3"/>
      <c r="F7448" s="19"/>
      <c r="G7448" s="19"/>
      <c r="N7448" s="19"/>
      <c r="P7448" s="19"/>
      <c r="AL7448" s="19"/>
    </row>
    <row r="7449" spans="1:38" s="11" customFormat="1" x14ac:dyDescent="0.25">
      <c r="A7449" s="3"/>
      <c r="F7449" s="19"/>
      <c r="G7449" s="19"/>
      <c r="N7449" s="19"/>
      <c r="P7449" s="19"/>
      <c r="AL7449" s="19"/>
    </row>
    <row r="7450" spans="1:38" s="11" customFormat="1" x14ac:dyDescent="0.25">
      <c r="A7450" s="3"/>
      <c r="F7450" s="19"/>
      <c r="G7450" s="19"/>
      <c r="N7450" s="19"/>
      <c r="P7450" s="19"/>
      <c r="AL7450" s="19"/>
    </row>
    <row r="7451" spans="1:38" s="11" customFormat="1" x14ac:dyDescent="0.25">
      <c r="A7451" s="3"/>
      <c r="F7451" s="19"/>
      <c r="G7451" s="19"/>
      <c r="N7451" s="19"/>
      <c r="P7451" s="19"/>
      <c r="AL7451" s="19"/>
    </row>
    <row r="7452" spans="1:38" s="11" customFormat="1" x14ac:dyDescent="0.25">
      <c r="A7452" s="3"/>
      <c r="F7452" s="19"/>
      <c r="G7452" s="19"/>
      <c r="N7452" s="19"/>
      <c r="P7452" s="19"/>
      <c r="AL7452" s="19"/>
    </row>
    <row r="7453" spans="1:38" s="11" customFormat="1" x14ac:dyDescent="0.25">
      <c r="A7453" s="3"/>
      <c r="F7453" s="19"/>
      <c r="G7453" s="19"/>
      <c r="N7453" s="19"/>
      <c r="P7453" s="19"/>
      <c r="AL7453" s="19"/>
    </row>
    <row r="7454" spans="1:38" s="11" customFormat="1" x14ac:dyDescent="0.25">
      <c r="A7454" s="3"/>
      <c r="F7454" s="19"/>
      <c r="G7454" s="19"/>
      <c r="N7454" s="19"/>
      <c r="P7454" s="19"/>
      <c r="AL7454" s="19"/>
    </row>
    <row r="7455" spans="1:38" s="11" customFormat="1" x14ac:dyDescent="0.25">
      <c r="A7455" s="3"/>
      <c r="F7455" s="19"/>
      <c r="G7455" s="19"/>
      <c r="N7455" s="19"/>
      <c r="P7455" s="19"/>
      <c r="AL7455" s="19"/>
    </row>
    <row r="7456" spans="1:38" s="11" customFormat="1" x14ac:dyDescent="0.25">
      <c r="A7456" s="3"/>
      <c r="F7456" s="19"/>
      <c r="G7456" s="19"/>
      <c r="N7456" s="19"/>
      <c r="P7456" s="19"/>
      <c r="AL7456" s="19"/>
    </row>
    <row r="7457" spans="1:38" s="11" customFormat="1" x14ac:dyDescent="0.25">
      <c r="A7457" s="3"/>
      <c r="F7457" s="19"/>
      <c r="G7457" s="19"/>
      <c r="N7457" s="19"/>
      <c r="P7457" s="19"/>
      <c r="AL7457" s="19"/>
    </row>
    <row r="7458" spans="1:38" s="11" customFormat="1" x14ac:dyDescent="0.25">
      <c r="A7458" s="3"/>
      <c r="F7458" s="19"/>
      <c r="G7458" s="19"/>
      <c r="N7458" s="19"/>
      <c r="P7458" s="19"/>
      <c r="AL7458" s="19"/>
    </row>
    <row r="7459" spans="1:38" s="11" customFormat="1" x14ac:dyDescent="0.25">
      <c r="A7459" s="3"/>
      <c r="F7459" s="19"/>
      <c r="G7459" s="19"/>
      <c r="N7459" s="19"/>
      <c r="P7459" s="19"/>
      <c r="AL7459" s="19"/>
    </row>
    <row r="7460" spans="1:38" s="11" customFormat="1" x14ac:dyDescent="0.25">
      <c r="A7460" s="3"/>
      <c r="F7460" s="19"/>
      <c r="G7460" s="19"/>
      <c r="N7460" s="19"/>
      <c r="P7460" s="19"/>
      <c r="AL7460" s="19"/>
    </row>
    <row r="7461" spans="1:38" s="11" customFormat="1" x14ac:dyDescent="0.25">
      <c r="A7461" s="3"/>
      <c r="F7461" s="19"/>
      <c r="G7461" s="19"/>
      <c r="N7461" s="19"/>
      <c r="P7461" s="19"/>
      <c r="AL7461" s="19"/>
    </row>
    <row r="7462" spans="1:38" s="11" customFormat="1" x14ac:dyDescent="0.25">
      <c r="A7462" s="3"/>
      <c r="F7462" s="19"/>
      <c r="G7462" s="19"/>
      <c r="N7462" s="19"/>
      <c r="P7462" s="19"/>
      <c r="AL7462" s="19"/>
    </row>
    <row r="7463" spans="1:38" s="11" customFormat="1" x14ac:dyDescent="0.25">
      <c r="A7463" s="3"/>
      <c r="F7463" s="19"/>
      <c r="G7463" s="19"/>
      <c r="N7463" s="19"/>
      <c r="P7463" s="19"/>
      <c r="AL7463" s="19"/>
    </row>
    <row r="7464" spans="1:38" s="11" customFormat="1" x14ac:dyDescent="0.25">
      <c r="A7464" s="3"/>
      <c r="F7464" s="19"/>
      <c r="G7464" s="19"/>
      <c r="N7464" s="19"/>
      <c r="P7464" s="19"/>
      <c r="AL7464" s="19"/>
    </row>
    <row r="7465" spans="1:38" s="11" customFormat="1" x14ac:dyDescent="0.25">
      <c r="A7465" s="3"/>
      <c r="F7465" s="19"/>
      <c r="G7465" s="19"/>
      <c r="N7465" s="19"/>
      <c r="P7465" s="19"/>
      <c r="AL7465" s="19"/>
    </row>
    <row r="7466" spans="1:38" s="11" customFormat="1" x14ac:dyDescent="0.25">
      <c r="A7466" s="3"/>
      <c r="F7466" s="19"/>
      <c r="G7466" s="19"/>
      <c r="N7466" s="19"/>
      <c r="P7466" s="19"/>
      <c r="AL7466" s="19"/>
    </row>
    <row r="7467" spans="1:38" s="11" customFormat="1" x14ac:dyDescent="0.25">
      <c r="A7467" s="3"/>
      <c r="F7467" s="19"/>
      <c r="G7467" s="19"/>
      <c r="N7467" s="19"/>
      <c r="P7467" s="19"/>
      <c r="AL7467" s="19"/>
    </row>
    <row r="7468" spans="1:38" s="11" customFormat="1" x14ac:dyDescent="0.25">
      <c r="A7468" s="3"/>
      <c r="F7468" s="19"/>
      <c r="G7468" s="19"/>
      <c r="N7468" s="19"/>
      <c r="P7468" s="19"/>
      <c r="AL7468" s="19"/>
    </row>
    <row r="7469" spans="1:38" s="11" customFormat="1" x14ac:dyDescent="0.25">
      <c r="A7469" s="3"/>
      <c r="F7469" s="19"/>
      <c r="G7469" s="19"/>
      <c r="N7469" s="19"/>
      <c r="P7469" s="19"/>
      <c r="AL7469" s="19"/>
    </row>
    <row r="7470" spans="1:38" s="11" customFormat="1" x14ac:dyDescent="0.25">
      <c r="A7470" s="3"/>
      <c r="F7470" s="19"/>
      <c r="G7470" s="19"/>
      <c r="N7470" s="19"/>
      <c r="P7470" s="19"/>
      <c r="AL7470" s="19"/>
    </row>
    <row r="7471" spans="1:38" s="11" customFormat="1" x14ac:dyDescent="0.25">
      <c r="A7471" s="3"/>
      <c r="F7471" s="19"/>
      <c r="G7471" s="19"/>
      <c r="N7471" s="19"/>
      <c r="P7471" s="19"/>
      <c r="AL7471" s="19"/>
    </row>
    <row r="7472" spans="1:38" s="11" customFormat="1" x14ac:dyDescent="0.25">
      <c r="A7472" s="3"/>
      <c r="F7472" s="19"/>
      <c r="G7472" s="19"/>
      <c r="N7472" s="19"/>
      <c r="P7472" s="19"/>
      <c r="AL7472" s="19"/>
    </row>
    <row r="7473" spans="1:38" s="11" customFormat="1" x14ac:dyDescent="0.25">
      <c r="A7473" s="3"/>
      <c r="F7473" s="19"/>
      <c r="G7473" s="19"/>
      <c r="N7473" s="19"/>
      <c r="P7473" s="19"/>
      <c r="AL7473" s="19"/>
    </row>
    <row r="7474" spans="1:38" s="11" customFormat="1" x14ac:dyDescent="0.25">
      <c r="A7474" s="3"/>
      <c r="F7474" s="19"/>
      <c r="G7474" s="19"/>
      <c r="N7474" s="19"/>
      <c r="P7474" s="19"/>
      <c r="AL7474" s="19"/>
    </row>
    <row r="7475" spans="1:38" s="11" customFormat="1" x14ac:dyDescent="0.25">
      <c r="A7475" s="3"/>
      <c r="F7475" s="19"/>
      <c r="G7475" s="19"/>
      <c r="N7475" s="19"/>
      <c r="P7475" s="19"/>
      <c r="AL7475" s="19"/>
    </row>
    <row r="7476" spans="1:38" s="11" customFormat="1" x14ac:dyDescent="0.25">
      <c r="A7476" s="3"/>
      <c r="F7476" s="19"/>
      <c r="G7476" s="19"/>
      <c r="N7476" s="19"/>
      <c r="P7476" s="19"/>
      <c r="AL7476" s="19"/>
    </row>
    <row r="7477" spans="1:38" s="11" customFormat="1" x14ac:dyDescent="0.25">
      <c r="A7477" s="3"/>
      <c r="F7477" s="19"/>
      <c r="G7477" s="19"/>
      <c r="N7477" s="19"/>
      <c r="P7477" s="19"/>
      <c r="AL7477" s="19"/>
    </row>
    <row r="7478" spans="1:38" s="11" customFormat="1" x14ac:dyDescent="0.25">
      <c r="A7478" s="3"/>
      <c r="F7478" s="19"/>
      <c r="G7478" s="19"/>
      <c r="N7478" s="19"/>
      <c r="P7478" s="19"/>
      <c r="AL7478" s="19"/>
    </row>
    <row r="7479" spans="1:38" s="11" customFormat="1" x14ac:dyDescent="0.25">
      <c r="A7479" s="3"/>
      <c r="F7479" s="19"/>
      <c r="G7479" s="19"/>
      <c r="N7479" s="19"/>
      <c r="P7479" s="19"/>
      <c r="AL7479" s="19"/>
    </row>
    <row r="7480" spans="1:38" s="11" customFormat="1" x14ac:dyDescent="0.25">
      <c r="A7480" s="3"/>
      <c r="F7480" s="19"/>
      <c r="G7480" s="19"/>
      <c r="N7480" s="19"/>
      <c r="P7480" s="19"/>
      <c r="AL7480" s="19"/>
    </row>
    <row r="7481" spans="1:38" s="11" customFormat="1" x14ac:dyDescent="0.25">
      <c r="A7481" s="3"/>
      <c r="F7481" s="19"/>
      <c r="G7481" s="19"/>
      <c r="N7481" s="19"/>
      <c r="P7481" s="19"/>
      <c r="AL7481" s="19"/>
    </row>
    <row r="7482" spans="1:38" s="11" customFormat="1" x14ac:dyDescent="0.25">
      <c r="A7482" s="3"/>
      <c r="F7482" s="19"/>
      <c r="G7482" s="19"/>
      <c r="N7482" s="19"/>
      <c r="P7482" s="19"/>
      <c r="AL7482" s="19"/>
    </row>
    <row r="7483" spans="1:38" s="11" customFormat="1" x14ac:dyDescent="0.25">
      <c r="A7483" s="3"/>
      <c r="F7483" s="19"/>
      <c r="G7483" s="19"/>
      <c r="N7483" s="19"/>
      <c r="P7483" s="19"/>
      <c r="AL7483" s="19"/>
    </row>
    <row r="7484" spans="1:38" s="11" customFormat="1" x14ac:dyDescent="0.25">
      <c r="A7484" s="3"/>
      <c r="F7484" s="19"/>
      <c r="G7484" s="19"/>
      <c r="N7484" s="19"/>
      <c r="P7484" s="19"/>
      <c r="AL7484" s="19"/>
    </row>
    <row r="7485" spans="1:38" s="11" customFormat="1" x14ac:dyDescent="0.25">
      <c r="A7485" s="3"/>
      <c r="F7485" s="19"/>
      <c r="G7485" s="19"/>
      <c r="N7485" s="19"/>
      <c r="P7485" s="19"/>
      <c r="AL7485" s="19"/>
    </row>
    <row r="7486" spans="1:38" s="11" customFormat="1" x14ac:dyDescent="0.25">
      <c r="A7486" s="3"/>
      <c r="F7486" s="19"/>
      <c r="G7486" s="19"/>
      <c r="N7486" s="19"/>
      <c r="P7486" s="19"/>
      <c r="AL7486" s="19"/>
    </row>
    <row r="7487" spans="1:38" s="11" customFormat="1" x14ac:dyDescent="0.25">
      <c r="A7487" s="3"/>
      <c r="F7487" s="19"/>
      <c r="G7487" s="19"/>
      <c r="N7487" s="19"/>
      <c r="P7487" s="19"/>
      <c r="AL7487" s="19"/>
    </row>
    <row r="7488" spans="1:38" s="11" customFormat="1" x14ac:dyDescent="0.25">
      <c r="A7488" s="3"/>
      <c r="F7488" s="19"/>
      <c r="G7488" s="19"/>
      <c r="N7488" s="19"/>
      <c r="P7488" s="19"/>
      <c r="AL7488" s="19"/>
    </row>
    <row r="7489" spans="1:38" s="11" customFormat="1" x14ac:dyDescent="0.25">
      <c r="A7489" s="3"/>
      <c r="F7489" s="19"/>
      <c r="G7489" s="19"/>
      <c r="N7489" s="19"/>
      <c r="P7489" s="19"/>
      <c r="AL7489" s="19"/>
    </row>
    <row r="7490" spans="1:38" s="11" customFormat="1" x14ac:dyDescent="0.25">
      <c r="A7490" s="3"/>
      <c r="F7490" s="19"/>
      <c r="G7490" s="19"/>
      <c r="N7490" s="19"/>
      <c r="P7490" s="19"/>
      <c r="AL7490" s="19"/>
    </row>
    <row r="7491" spans="1:38" s="11" customFormat="1" x14ac:dyDescent="0.25">
      <c r="A7491" s="3"/>
      <c r="F7491" s="19"/>
      <c r="G7491" s="19"/>
      <c r="N7491" s="19"/>
      <c r="P7491" s="19"/>
      <c r="AL7491" s="19"/>
    </row>
    <row r="7492" spans="1:38" s="11" customFormat="1" x14ac:dyDescent="0.25">
      <c r="A7492" s="3"/>
      <c r="F7492" s="19"/>
      <c r="G7492" s="19"/>
      <c r="N7492" s="19"/>
      <c r="P7492" s="19"/>
      <c r="AL7492" s="19"/>
    </row>
    <row r="7493" spans="1:38" s="11" customFormat="1" x14ac:dyDescent="0.25">
      <c r="A7493" s="3"/>
      <c r="F7493" s="19"/>
      <c r="G7493" s="19"/>
      <c r="N7493" s="19"/>
      <c r="P7493" s="19"/>
      <c r="AL7493" s="19"/>
    </row>
    <row r="7494" spans="1:38" s="11" customFormat="1" x14ac:dyDescent="0.25">
      <c r="A7494" s="3"/>
      <c r="F7494" s="19"/>
      <c r="G7494" s="19"/>
      <c r="N7494" s="19"/>
      <c r="P7494" s="19"/>
      <c r="AL7494" s="19"/>
    </row>
    <row r="7495" spans="1:38" s="11" customFormat="1" x14ac:dyDescent="0.25">
      <c r="A7495" s="3"/>
      <c r="F7495" s="19"/>
      <c r="G7495" s="19"/>
      <c r="N7495" s="19"/>
      <c r="P7495" s="19"/>
      <c r="AL7495" s="19"/>
    </row>
    <row r="7496" spans="1:38" s="11" customFormat="1" x14ac:dyDescent="0.25">
      <c r="A7496" s="3"/>
      <c r="F7496" s="19"/>
      <c r="G7496" s="19"/>
      <c r="N7496" s="19"/>
      <c r="P7496" s="19"/>
      <c r="AL7496" s="19"/>
    </row>
    <row r="7497" spans="1:38" s="11" customFormat="1" x14ac:dyDescent="0.25">
      <c r="A7497" s="3"/>
      <c r="F7497" s="19"/>
      <c r="G7497" s="19"/>
      <c r="N7497" s="19"/>
      <c r="P7497" s="19"/>
      <c r="AL7497" s="19"/>
    </row>
    <row r="7498" spans="1:38" s="11" customFormat="1" x14ac:dyDescent="0.25">
      <c r="A7498" s="3"/>
      <c r="F7498" s="19"/>
      <c r="G7498" s="19"/>
      <c r="N7498" s="19"/>
      <c r="P7498" s="19"/>
      <c r="AL7498" s="19"/>
    </row>
    <row r="7499" spans="1:38" s="11" customFormat="1" x14ac:dyDescent="0.25">
      <c r="A7499" s="3"/>
      <c r="F7499" s="19"/>
      <c r="G7499" s="19"/>
      <c r="N7499" s="19"/>
      <c r="P7499" s="19"/>
      <c r="AL7499" s="19"/>
    </row>
    <row r="7500" spans="1:38" s="11" customFormat="1" x14ac:dyDescent="0.25">
      <c r="A7500" s="3"/>
      <c r="F7500" s="19"/>
      <c r="G7500" s="19"/>
      <c r="N7500" s="19"/>
      <c r="P7500" s="19"/>
      <c r="AL7500" s="19"/>
    </row>
    <row r="7501" spans="1:38" s="11" customFormat="1" x14ac:dyDescent="0.25">
      <c r="A7501" s="3"/>
      <c r="F7501" s="19"/>
      <c r="G7501" s="19"/>
      <c r="N7501" s="19"/>
      <c r="P7501" s="19"/>
      <c r="AL7501" s="19"/>
    </row>
    <row r="7502" spans="1:38" s="11" customFormat="1" x14ac:dyDescent="0.25">
      <c r="A7502" s="3"/>
      <c r="F7502" s="19"/>
      <c r="G7502" s="19"/>
      <c r="N7502" s="19"/>
      <c r="P7502" s="19"/>
      <c r="AL7502" s="19"/>
    </row>
    <row r="7503" spans="1:38" s="11" customFormat="1" x14ac:dyDescent="0.25">
      <c r="A7503" s="3"/>
      <c r="F7503" s="19"/>
      <c r="G7503" s="19"/>
      <c r="N7503" s="19"/>
      <c r="P7503" s="19"/>
      <c r="AL7503" s="19"/>
    </row>
    <row r="7504" spans="1:38" s="11" customFormat="1" x14ac:dyDescent="0.25">
      <c r="A7504" s="3"/>
      <c r="F7504" s="19"/>
      <c r="G7504" s="19"/>
      <c r="N7504" s="19"/>
      <c r="P7504" s="19"/>
      <c r="AL7504" s="19"/>
    </row>
    <row r="7505" spans="1:38" s="11" customFormat="1" x14ac:dyDescent="0.25">
      <c r="A7505" s="3"/>
      <c r="F7505" s="19"/>
      <c r="G7505" s="19"/>
      <c r="N7505" s="19"/>
      <c r="P7505" s="19"/>
      <c r="AL7505" s="19"/>
    </row>
    <row r="7506" spans="1:38" s="11" customFormat="1" x14ac:dyDescent="0.25">
      <c r="A7506" s="3"/>
      <c r="F7506" s="19"/>
      <c r="G7506" s="19"/>
      <c r="N7506" s="19"/>
      <c r="P7506" s="19"/>
      <c r="AL7506" s="19"/>
    </row>
    <row r="7507" spans="1:38" s="11" customFormat="1" x14ac:dyDescent="0.25">
      <c r="A7507" s="3"/>
      <c r="F7507" s="19"/>
      <c r="G7507" s="19"/>
      <c r="N7507" s="19"/>
      <c r="P7507" s="19"/>
      <c r="AL7507" s="19"/>
    </row>
    <row r="7508" spans="1:38" s="11" customFormat="1" x14ac:dyDescent="0.25">
      <c r="A7508" s="3"/>
      <c r="F7508" s="19"/>
      <c r="G7508" s="19"/>
      <c r="N7508" s="19"/>
      <c r="P7508" s="19"/>
      <c r="AL7508" s="19"/>
    </row>
    <row r="7509" spans="1:38" s="11" customFormat="1" x14ac:dyDescent="0.25">
      <c r="A7509" s="3"/>
      <c r="F7509" s="19"/>
      <c r="G7509" s="19"/>
      <c r="N7509" s="19"/>
      <c r="P7509" s="19"/>
      <c r="AL7509" s="19"/>
    </row>
    <row r="7510" spans="1:38" s="11" customFormat="1" x14ac:dyDescent="0.25">
      <c r="A7510" s="3"/>
      <c r="F7510" s="19"/>
      <c r="G7510" s="19"/>
      <c r="N7510" s="19"/>
      <c r="P7510" s="19"/>
      <c r="AL7510" s="19"/>
    </row>
    <row r="7511" spans="1:38" s="11" customFormat="1" x14ac:dyDescent="0.25">
      <c r="A7511" s="3"/>
      <c r="F7511" s="19"/>
      <c r="G7511" s="19"/>
      <c r="N7511" s="19"/>
      <c r="P7511" s="19"/>
      <c r="AL7511" s="19"/>
    </row>
    <row r="7512" spans="1:38" s="11" customFormat="1" x14ac:dyDescent="0.25">
      <c r="A7512" s="3"/>
      <c r="F7512" s="19"/>
      <c r="G7512" s="19"/>
      <c r="N7512" s="19"/>
      <c r="P7512" s="19"/>
      <c r="AL7512" s="19"/>
    </row>
    <row r="7513" spans="1:38" s="11" customFormat="1" x14ac:dyDescent="0.25">
      <c r="A7513" s="3"/>
      <c r="F7513" s="19"/>
      <c r="G7513" s="19"/>
      <c r="N7513" s="19"/>
      <c r="P7513" s="19"/>
      <c r="AL7513" s="19"/>
    </row>
    <row r="7514" spans="1:38" s="11" customFormat="1" x14ac:dyDescent="0.25">
      <c r="A7514" s="3"/>
      <c r="F7514" s="19"/>
      <c r="G7514" s="19"/>
      <c r="N7514" s="19"/>
      <c r="P7514" s="19"/>
      <c r="AL7514" s="19"/>
    </row>
    <row r="7515" spans="1:38" s="11" customFormat="1" x14ac:dyDescent="0.25">
      <c r="A7515" s="3"/>
      <c r="F7515" s="19"/>
      <c r="G7515" s="19"/>
      <c r="N7515" s="19"/>
      <c r="P7515" s="19"/>
      <c r="AL7515" s="19"/>
    </row>
    <row r="7516" spans="1:38" s="11" customFormat="1" x14ac:dyDescent="0.25">
      <c r="A7516" s="3"/>
      <c r="F7516" s="19"/>
      <c r="G7516" s="19"/>
      <c r="N7516" s="19"/>
      <c r="P7516" s="19"/>
      <c r="AL7516" s="19"/>
    </row>
    <row r="7517" spans="1:38" s="11" customFormat="1" x14ac:dyDescent="0.25">
      <c r="A7517" s="3"/>
      <c r="F7517" s="19"/>
      <c r="G7517" s="19"/>
      <c r="N7517" s="19"/>
      <c r="P7517" s="19"/>
      <c r="AL7517" s="19"/>
    </row>
    <row r="7518" spans="1:38" s="11" customFormat="1" x14ac:dyDescent="0.25">
      <c r="A7518" s="3"/>
      <c r="F7518" s="19"/>
      <c r="G7518" s="19"/>
      <c r="N7518" s="19"/>
      <c r="P7518" s="19"/>
      <c r="AL7518" s="19"/>
    </row>
    <row r="7519" spans="1:38" s="11" customFormat="1" x14ac:dyDescent="0.25">
      <c r="A7519" s="3"/>
      <c r="F7519" s="19"/>
      <c r="G7519" s="19"/>
      <c r="N7519" s="19"/>
      <c r="P7519" s="19"/>
      <c r="AL7519" s="19"/>
    </row>
    <row r="7520" spans="1:38" s="11" customFormat="1" x14ac:dyDescent="0.25">
      <c r="A7520" s="3"/>
      <c r="F7520" s="19"/>
      <c r="G7520" s="19"/>
      <c r="N7520" s="19"/>
      <c r="P7520" s="19"/>
      <c r="AL7520" s="19"/>
    </row>
    <row r="7521" spans="1:38" s="11" customFormat="1" x14ac:dyDescent="0.25">
      <c r="A7521" s="3"/>
      <c r="F7521" s="19"/>
      <c r="G7521" s="19"/>
      <c r="N7521" s="19"/>
      <c r="P7521" s="19"/>
      <c r="AL7521" s="19"/>
    </row>
    <row r="7522" spans="1:38" s="11" customFormat="1" x14ac:dyDescent="0.25">
      <c r="A7522" s="3"/>
      <c r="F7522" s="19"/>
      <c r="G7522" s="19"/>
      <c r="N7522" s="19"/>
      <c r="P7522" s="19"/>
      <c r="AL7522" s="19"/>
    </row>
    <row r="7523" spans="1:38" s="11" customFormat="1" x14ac:dyDescent="0.25">
      <c r="A7523" s="3"/>
      <c r="F7523" s="19"/>
      <c r="G7523" s="19"/>
      <c r="N7523" s="19"/>
      <c r="P7523" s="19"/>
      <c r="AL7523" s="19"/>
    </row>
    <row r="7524" spans="1:38" s="11" customFormat="1" x14ac:dyDescent="0.25">
      <c r="A7524" s="3"/>
      <c r="F7524" s="19"/>
      <c r="G7524" s="19"/>
      <c r="N7524" s="19"/>
      <c r="P7524" s="19"/>
      <c r="AL7524" s="19"/>
    </row>
    <row r="7525" spans="1:38" s="11" customFormat="1" x14ac:dyDescent="0.25">
      <c r="A7525" s="3"/>
      <c r="F7525" s="19"/>
      <c r="G7525" s="19"/>
      <c r="N7525" s="19"/>
      <c r="P7525" s="19"/>
      <c r="AL7525" s="19"/>
    </row>
    <row r="7526" spans="1:38" s="11" customFormat="1" x14ac:dyDescent="0.25">
      <c r="A7526" s="3"/>
      <c r="F7526" s="19"/>
      <c r="G7526" s="19"/>
      <c r="N7526" s="19"/>
      <c r="P7526" s="19"/>
      <c r="AL7526" s="19"/>
    </row>
    <row r="7527" spans="1:38" s="11" customFormat="1" x14ac:dyDescent="0.25">
      <c r="A7527" s="3"/>
      <c r="F7527" s="19"/>
      <c r="G7527" s="19"/>
      <c r="N7527" s="19"/>
      <c r="P7527" s="19"/>
      <c r="AL7527" s="19"/>
    </row>
    <row r="7528" spans="1:38" s="11" customFormat="1" x14ac:dyDescent="0.25">
      <c r="A7528" s="3"/>
      <c r="F7528" s="19"/>
      <c r="G7528" s="19"/>
      <c r="N7528" s="19"/>
      <c r="P7528" s="19"/>
      <c r="AL7528" s="19"/>
    </row>
    <row r="7529" spans="1:38" s="11" customFormat="1" x14ac:dyDescent="0.25">
      <c r="A7529" s="3"/>
      <c r="F7529" s="19"/>
      <c r="G7529" s="19"/>
      <c r="N7529" s="19"/>
      <c r="P7529" s="19"/>
      <c r="AL7529" s="19"/>
    </row>
    <row r="7530" spans="1:38" s="11" customFormat="1" x14ac:dyDescent="0.25">
      <c r="A7530" s="3"/>
      <c r="F7530" s="19"/>
      <c r="G7530" s="19"/>
      <c r="N7530" s="19"/>
      <c r="P7530" s="19"/>
      <c r="AL7530" s="19"/>
    </row>
    <row r="7531" spans="1:38" s="11" customFormat="1" x14ac:dyDescent="0.25">
      <c r="A7531" s="3"/>
      <c r="F7531" s="19"/>
      <c r="G7531" s="19"/>
      <c r="N7531" s="19"/>
      <c r="P7531" s="19"/>
      <c r="AL7531" s="19"/>
    </row>
    <row r="7532" spans="1:38" s="11" customFormat="1" x14ac:dyDescent="0.25">
      <c r="A7532" s="3"/>
      <c r="F7532" s="19"/>
      <c r="G7532" s="19"/>
      <c r="N7532" s="19"/>
      <c r="P7532" s="19"/>
      <c r="AL7532" s="19"/>
    </row>
    <row r="7533" spans="1:38" s="11" customFormat="1" x14ac:dyDescent="0.25">
      <c r="A7533" s="3"/>
      <c r="F7533" s="19"/>
      <c r="G7533" s="19"/>
      <c r="N7533" s="19"/>
      <c r="P7533" s="19"/>
      <c r="AL7533" s="19"/>
    </row>
    <row r="7534" spans="1:38" s="11" customFormat="1" x14ac:dyDescent="0.25">
      <c r="A7534" s="3"/>
      <c r="F7534" s="19"/>
      <c r="G7534" s="19"/>
      <c r="N7534" s="19"/>
      <c r="P7534" s="19"/>
      <c r="AL7534" s="19"/>
    </row>
    <row r="7535" spans="1:38" s="11" customFormat="1" x14ac:dyDescent="0.25">
      <c r="A7535" s="3"/>
      <c r="F7535" s="19"/>
      <c r="G7535" s="19"/>
      <c r="N7535" s="19"/>
      <c r="P7535" s="19"/>
      <c r="AL7535" s="19"/>
    </row>
    <row r="7536" spans="1:38" s="11" customFormat="1" x14ac:dyDescent="0.25">
      <c r="A7536" s="3"/>
      <c r="F7536" s="19"/>
      <c r="G7536" s="19"/>
      <c r="N7536" s="19"/>
      <c r="P7536" s="19"/>
      <c r="AL7536" s="19"/>
    </row>
    <row r="7537" spans="1:38" s="11" customFormat="1" x14ac:dyDescent="0.25">
      <c r="A7537" s="3"/>
      <c r="F7537" s="19"/>
      <c r="G7537" s="19"/>
      <c r="N7537" s="19"/>
      <c r="P7537" s="19"/>
      <c r="AL7537" s="19"/>
    </row>
    <row r="7538" spans="1:38" s="11" customFormat="1" x14ac:dyDescent="0.25">
      <c r="A7538" s="3"/>
      <c r="F7538" s="19"/>
      <c r="G7538" s="19"/>
      <c r="N7538" s="19"/>
      <c r="P7538" s="19"/>
      <c r="AL7538" s="19"/>
    </row>
    <row r="7539" spans="1:38" s="11" customFormat="1" x14ac:dyDescent="0.25">
      <c r="A7539" s="3"/>
      <c r="F7539" s="19"/>
      <c r="G7539" s="19"/>
      <c r="N7539" s="19"/>
      <c r="P7539" s="19"/>
      <c r="AL7539" s="19"/>
    </row>
    <row r="7540" spans="1:38" s="11" customFormat="1" x14ac:dyDescent="0.25">
      <c r="A7540" s="3"/>
      <c r="F7540" s="19"/>
      <c r="G7540" s="19"/>
      <c r="N7540" s="19"/>
      <c r="P7540" s="19"/>
      <c r="AL7540" s="19"/>
    </row>
    <row r="7541" spans="1:38" s="11" customFormat="1" x14ac:dyDescent="0.25">
      <c r="A7541" s="3"/>
      <c r="F7541" s="19"/>
      <c r="G7541" s="19"/>
      <c r="N7541" s="19"/>
      <c r="P7541" s="19"/>
      <c r="AL7541" s="19"/>
    </row>
    <row r="7542" spans="1:38" s="11" customFormat="1" x14ac:dyDescent="0.25">
      <c r="A7542" s="3"/>
      <c r="F7542" s="19"/>
      <c r="G7542" s="19"/>
      <c r="N7542" s="19"/>
      <c r="P7542" s="19"/>
      <c r="AL7542" s="19"/>
    </row>
    <row r="7543" spans="1:38" s="11" customFormat="1" x14ac:dyDescent="0.25">
      <c r="A7543" s="3"/>
      <c r="F7543" s="19"/>
      <c r="G7543" s="19"/>
      <c r="N7543" s="19"/>
      <c r="P7543" s="19"/>
      <c r="AL7543" s="19"/>
    </row>
    <row r="7544" spans="1:38" s="11" customFormat="1" x14ac:dyDescent="0.25">
      <c r="A7544" s="3"/>
      <c r="F7544" s="19"/>
      <c r="G7544" s="19"/>
      <c r="N7544" s="19"/>
      <c r="P7544" s="19"/>
      <c r="AL7544" s="19"/>
    </row>
    <row r="7545" spans="1:38" s="11" customFormat="1" x14ac:dyDescent="0.25">
      <c r="A7545" s="3"/>
      <c r="F7545" s="19"/>
      <c r="G7545" s="19"/>
      <c r="N7545" s="19"/>
      <c r="P7545" s="19"/>
      <c r="AL7545" s="19"/>
    </row>
    <row r="7546" spans="1:38" s="11" customFormat="1" x14ac:dyDescent="0.25">
      <c r="A7546" s="3"/>
      <c r="F7546" s="19"/>
      <c r="G7546" s="19"/>
      <c r="N7546" s="19"/>
      <c r="P7546" s="19"/>
      <c r="AL7546" s="19"/>
    </row>
    <row r="7547" spans="1:38" s="11" customFormat="1" x14ac:dyDescent="0.25">
      <c r="A7547" s="3"/>
      <c r="F7547" s="19"/>
      <c r="G7547" s="19"/>
      <c r="N7547" s="19"/>
      <c r="P7547" s="19"/>
      <c r="AL7547" s="19"/>
    </row>
    <row r="7548" spans="1:38" s="11" customFormat="1" x14ac:dyDescent="0.25">
      <c r="A7548" s="3"/>
      <c r="F7548" s="19"/>
      <c r="G7548" s="19"/>
      <c r="N7548" s="19"/>
      <c r="P7548" s="19"/>
      <c r="AL7548" s="19"/>
    </row>
    <row r="7549" spans="1:38" s="11" customFormat="1" x14ac:dyDescent="0.25">
      <c r="A7549" s="3"/>
      <c r="F7549" s="19"/>
      <c r="G7549" s="19"/>
      <c r="N7549" s="19"/>
      <c r="P7549" s="19"/>
      <c r="AL7549" s="19"/>
    </row>
    <row r="7550" spans="1:38" s="11" customFormat="1" x14ac:dyDescent="0.25">
      <c r="A7550" s="3"/>
      <c r="F7550" s="19"/>
      <c r="G7550" s="19"/>
      <c r="N7550" s="19"/>
      <c r="P7550" s="19"/>
      <c r="AL7550" s="19"/>
    </row>
    <row r="7551" spans="1:38" s="11" customFormat="1" x14ac:dyDescent="0.25">
      <c r="A7551" s="3"/>
      <c r="F7551" s="19"/>
      <c r="G7551" s="19"/>
      <c r="N7551" s="19"/>
      <c r="P7551" s="19"/>
      <c r="AL7551" s="19"/>
    </row>
    <row r="7552" spans="1:38" s="11" customFormat="1" x14ac:dyDescent="0.25">
      <c r="A7552" s="3"/>
      <c r="F7552" s="19"/>
      <c r="G7552" s="19"/>
      <c r="N7552" s="19"/>
      <c r="P7552" s="19"/>
      <c r="AL7552" s="19"/>
    </row>
    <row r="7553" spans="1:38" s="11" customFormat="1" x14ac:dyDescent="0.25">
      <c r="A7553" s="3"/>
      <c r="F7553" s="19"/>
      <c r="G7553" s="19"/>
      <c r="N7553" s="19"/>
      <c r="P7553" s="19"/>
      <c r="AL7553" s="19"/>
    </row>
    <row r="7554" spans="1:38" s="11" customFormat="1" x14ac:dyDescent="0.25">
      <c r="A7554" s="3"/>
      <c r="F7554" s="19"/>
      <c r="G7554" s="19"/>
      <c r="N7554" s="19"/>
      <c r="P7554" s="19"/>
      <c r="AL7554" s="19"/>
    </row>
    <row r="7555" spans="1:38" s="11" customFormat="1" x14ac:dyDescent="0.25">
      <c r="A7555" s="3"/>
      <c r="F7555" s="19"/>
      <c r="G7555" s="19"/>
      <c r="N7555" s="19"/>
      <c r="P7555" s="19"/>
      <c r="AL7555" s="19"/>
    </row>
    <row r="7556" spans="1:38" s="11" customFormat="1" x14ac:dyDescent="0.25">
      <c r="A7556" s="3"/>
      <c r="F7556" s="19"/>
      <c r="G7556" s="19"/>
      <c r="N7556" s="19"/>
      <c r="P7556" s="19"/>
      <c r="AL7556" s="19"/>
    </row>
    <row r="7557" spans="1:38" s="11" customFormat="1" x14ac:dyDescent="0.25">
      <c r="A7557" s="3"/>
      <c r="F7557" s="19"/>
      <c r="G7557" s="19"/>
      <c r="N7557" s="19"/>
      <c r="P7557" s="19"/>
      <c r="AL7557" s="19"/>
    </row>
    <row r="7558" spans="1:38" s="11" customFormat="1" x14ac:dyDescent="0.25">
      <c r="A7558" s="3"/>
      <c r="F7558" s="19"/>
      <c r="G7558" s="19"/>
      <c r="N7558" s="19"/>
      <c r="P7558" s="19"/>
      <c r="AL7558" s="19"/>
    </row>
    <row r="7559" spans="1:38" s="11" customFormat="1" x14ac:dyDescent="0.25">
      <c r="A7559" s="3"/>
      <c r="F7559" s="19"/>
      <c r="G7559" s="19"/>
      <c r="N7559" s="19"/>
      <c r="P7559" s="19"/>
      <c r="AL7559" s="19"/>
    </row>
    <row r="7560" spans="1:38" s="11" customFormat="1" x14ac:dyDescent="0.25">
      <c r="A7560" s="3"/>
      <c r="F7560" s="19"/>
      <c r="G7560" s="19"/>
      <c r="N7560" s="19"/>
      <c r="P7560" s="19"/>
      <c r="AL7560" s="19"/>
    </row>
    <row r="7561" spans="1:38" s="11" customFormat="1" x14ac:dyDescent="0.25">
      <c r="A7561" s="3"/>
      <c r="F7561" s="19"/>
      <c r="G7561" s="19"/>
      <c r="N7561" s="19"/>
      <c r="P7561" s="19"/>
      <c r="AL7561" s="19"/>
    </row>
    <row r="7562" spans="1:38" s="11" customFormat="1" x14ac:dyDescent="0.25">
      <c r="A7562" s="3"/>
      <c r="F7562" s="19"/>
      <c r="G7562" s="19"/>
      <c r="N7562" s="19"/>
      <c r="P7562" s="19"/>
      <c r="AL7562" s="19"/>
    </row>
    <row r="7563" spans="1:38" s="11" customFormat="1" x14ac:dyDescent="0.25">
      <c r="A7563" s="3"/>
      <c r="F7563" s="19"/>
      <c r="G7563" s="19"/>
      <c r="N7563" s="19"/>
      <c r="P7563" s="19"/>
      <c r="AL7563" s="19"/>
    </row>
    <row r="7564" spans="1:38" s="11" customFormat="1" x14ac:dyDescent="0.25">
      <c r="A7564" s="3"/>
      <c r="F7564" s="19"/>
      <c r="G7564" s="19"/>
      <c r="N7564" s="19"/>
      <c r="P7564" s="19"/>
      <c r="AL7564" s="19"/>
    </row>
    <row r="7565" spans="1:38" s="11" customFormat="1" x14ac:dyDescent="0.25">
      <c r="A7565" s="3"/>
      <c r="F7565" s="19"/>
      <c r="G7565" s="19"/>
      <c r="N7565" s="19"/>
      <c r="P7565" s="19"/>
      <c r="AL7565" s="19"/>
    </row>
    <row r="7566" spans="1:38" s="11" customFormat="1" x14ac:dyDescent="0.25">
      <c r="A7566" s="3"/>
      <c r="F7566" s="19"/>
      <c r="G7566" s="19"/>
      <c r="N7566" s="19"/>
      <c r="P7566" s="19"/>
      <c r="AL7566" s="19"/>
    </row>
    <row r="7567" spans="1:38" s="11" customFormat="1" x14ac:dyDescent="0.25">
      <c r="A7567" s="3"/>
      <c r="F7567" s="19"/>
      <c r="G7567" s="19"/>
      <c r="N7567" s="19"/>
      <c r="P7567" s="19"/>
      <c r="AL7567" s="19"/>
    </row>
    <row r="7568" spans="1:38" s="11" customFormat="1" x14ac:dyDescent="0.25">
      <c r="A7568" s="3"/>
      <c r="F7568" s="19"/>
      <c r="G7568" s="19"/>
      <c r="N7568" s="19"/>
      <c r="P7568" s="19"/>
      <c r="AL7568" s="19"/>
    </row>
    <row r="7569" spans="1:38" s="11" customFormat="1" x14ac:dyDescent="0.25">
      <c r="A7569" s="3"/>
      <c r="F7569" s="19"/>
      <c r="G7569" s="19"/>
      <c r="N7569" s="19"/>
      <c r="P7569" s="19"/>
      <c r="AL7569" s="19"/>
    </row>
    <row r="7570" spans="1:38" s="11" customFormat="1" x14ac:dyDescent="0.25">
      <c r="A7570" s="3"/>
      <c r="F7570" s="19"/>
      <c r="G7570" s="19"/>
      <c r="N7570" s="19"/>
      <c r="P7570" s="19"/>
      <c r="AL7570" s="19"/>
    </row>
    <row r="7571" spans="1:38" s="11" customFormat="1" x14ac:dyDescent="0.25">
      <c r="A7571" s="3"/>
      <c r="F7571" s="19"/>
      <c r="G7571" s="19"/>
      <c r="N7571" s="19"/>
      <c r="P7571" s="19"/>
      <c r="AL7571" s="19"/>
    </row>
    <row r="7572" spans="1:38" s="11" customFormat="1" x14ac:dyDescent="0.25">
      <c r="A7572" s="3"/>
      <c r="F7572" s="19"/>
      <c r="G7572" s="19"/>
      <c r="N7572" s="19"/>
      <c r="P7572" s="19"/>
      <c r="AL7572" s="19"/>
    </row>
    <row r="7573" spans="1:38" s="11" customFormat="1" x14ac:dyDescent="0.25">
      <c r="A7573" s="3"/>
      <c r="F7573" s="19"/>
      <c r="G7573" s="19"/>
      <c r="N7573" s="19"/>
      <c r="P7573" s="19"/>
      <c r="AL7573" s="19"/>
    </row>
    <row r="7574" spans="1:38" s="11" customFormat="1" x14ac:dyDescent="0.25">
      <c r="A7574" s="3"/>
      <c r="F7574" s="19"/>
      <c r="G7574" s="19"/>
      <c r="N7574" s="19"/>
      <c r="P7574" s="19"/>
      <c r="AL7574" s="19"/>
    </row>
    <row r="7575" spans="1:38" s="11" customFormat="1" x14ac:dyDescent="0.25">
      <c r="A7575" s="3"/>
      <c r="F7575" s="19"/>
      <c r="G7575" s="19"/>
      <c r="N7575" s="19"/>
      <c r="P7575" s="19"/>
      <c r="AL7575" s="19"/>
    </row>
    <row r="7576" spans="1:38" s="11" customFormat="1" x14ac:dyDescent="0.25">
      <c r="A7576" s="3"/>
      <c r="F7576" s="19"/>
      <c r="G7576" s="19"/>
      <c r="N7576" s="19"/>
      <c r="P7576" s="19"/>
      <c r="AL7576" s="19"/>
    </row>
    <row r="7577" spans="1:38" s="11" customFormat="1" x14ac:dyDescent="0.25">
      <c r="A7577" s="3"/>
      <c r="F7577" s="19"/>
      <c r="G7577" s="19"/>
      <c r="N7577" s="19"/>
      <c r="P7577" s="19"/>
      <c r="AL7577" s="19"/>
    </row>
    <row r="7578" spans="1:38" s="11" customFormat="1" x14ac:dyDescent="0.25">
      <c r="A7578" s="3"/>
      <c r="F7578" s="19"/>
      <c r="G7578" s="19"/>
      <c r="N7578" s="19"/>
      <c r="P7578" s="19"/>
      <c r="AL7578" s="19"/>
    </row>
    <row r="7579" spans="1:38" s="11" customFormat="1" x14ac:dyDescent="0.25">
      <c r="A7579" s="3"/>
      <c r="F7579" s="19"/>
      <c r="G7579" s="19"/>
      <c r="N7579" s="19"/>
      <c r="P7579" s="19"/>
      <c r="AL7579" s="19"/>
    </row>
    <row r="7580" spans="1:38" s="11" customFormat="1" x14ac:dyDescent="0.25">
      <c r="A7580" s="3"/>
      <c r="F7580" s="19"/>
      <c r="G7580" s="19"/>
      <c r="N7580" s="19"/>
      <c r="P7580" s="19"/>
      <c r="AL7580" s="19"/>
    </row>
    <row r="7581" spans="1:38" s="11" customFormat="1" x14ac:dyDescent="0.25">
      <c r="A7581" s="3"/>
      <c r="F7581" s="19"/>
      <c r="G7581" s="19"/>
      <c r="N7581" s="19"/>
      <c r="P7581" s="19"/>
      <c r="AL7581" s="19"/>
    </row>
    <row r="7582" spans="1:38" s="11" customFormat="1" x14ac:dyDescent="0.25">
      <c r="A7582" s="3"/>
      <c r="F7582" s="19"/>
      <c r="G7582" s="19"/>
      <c r="N7582" s="19"/>
      <c r="P7582" s="19"/>
      <c r="AL7582" s="19"/>
    </row>
    <row r="7583" spans="1:38" s="11" customFormat="1" x14ac:dyDescent="0.25">
      <c r="A7583" s="3"/>
      <c r="F7583" s="19"/>
      <c r="G7583" s="19"/>
      <c r="N7583" s="19"/>
      <c r="P7583" s="19"/>
      <c r="AL7583" s="19"/>
    </row>
    <row r="7584" spans="1:38" s="11" customFormat="1" x14ac:dyDescent="0.25">
      <c r="A7584" s="3"/>
      <c r="F7584" s="19"/>
      <c r="G7584" s="19"/>
      <c r="N7584" s="19"/>
      <c r="P7584" s="19"/>
      <c r="AL7584" s="19"/>
    </row>
    <row r="7585" spans="1:38" s="11" customFormat="1" x14ac:dyDescent="0.25">
      <c r="A7585" s="3"/>
      <c r="F7585" s="19"/>
      <c r="G7585" s="19"/>
      <c r="N7585" s="19"/>
      <c r="P7585" s="19"/>
      <c r="AL7585" s="19"/>
    </row>
    <row r="7586" spans="1:38" s="11" customFormat="1" x14ac:dyDescent="0.25">
      <c r="A7586" s="3"/>
      <c r="F7586" s="19"/>
      <c r="G7586" s="19"/>
      <c r="N7586" s="19"/>
      <c r="P7586" s="19"/>
      <c r="AL7586" s="19"/>
    </row>
    <row r="7587" spans="1:38" s="11" customFormat="1" x14ac:dyDescent="0.25">
      <c r="A7587" s="3"/>
      <c r="F7587" s="19"/>
      <c r="G7587" s="19"/>
      <c r="N7587" s="19"/>
      <c r="P7587" s="19"/>
      <c r="AL7587" s="19"/>
    </row>
    <row r="7588" spans="1:38" s="11" customFormat="1" x14ac:dyDescent="0.25">
      <c r="A7588" s="3"/>
      <c r="F7588" s="19"/>
      <c r="G7588" s="19"/>
      <c r="N7588" s="19"/>
      <c r="P7588" s="19"/>
      <c r="AL7588" s="19"/>
    </row>
    <row r="7589" spans="1:38" s="11" customFormat="1" x14ac:dyDescent="0.25">
      <c r="A7589" s="3"/>
      <c r="F7589" s="19"/>
      <c r="G7589" s="19"/>
      <c r="N7589" s="19"/>
      <c r="P7589" s="19"/>
      <c r="AL7589" s="19"/>
    </row>
    <row r="7590" spans="1:38" s="11" customFormat="1" x14ac:dyDescent="0.25">
      <c r="A7590" s="3"/>
      <c r="F7590" s="19"/>
      <c r="G7590" s="19"/>
      <c r="N7590" s="19"/>
      <c r="P7590" s="19"/>
      <c r="AL7590" s="19"/>
    </row>
    <row r="7591" spans="1:38" s="11" customFormat="1" x14ac:dyDescent="0.25">
      <c r="A7591" s="3"/>
      <c r="F7591" s="19"/>
      <c r="G7591" s="19"/>
      <c r="N7591" s="19"/>
      <c r="P7591" s="19"/>
      <c r="AL7591" s="19"/>
    </row>
    <row r="7592" spans="1:38" s="11" customFormat="1" x14ac:dyDescent="0.25">
      <c r="A7592" s="3"/>
      <c r="F7592" s="19"/>
      <c r="G7592" s="19"/>
      <c r="N7592" s="19"/>
      <c r="P7592" s="19"/>
      <c r="AL7592" s="19"/>
    </row>
    <row r="7593" spans="1:38" s="11" customFormat="1" x14ac:dyDescent="0.25">
      <c r="A7593" s="3"/>
      <c r="F7593" s="19"/>
      <c r="G7593" s="19"/>
      <c r="N7593" s="19"/>
      <c r="P7593" s="19"/>
      <c r="AL7593" s="19"/>
    </row>
    <row r="7594" spans="1:38" s="11" customFormat="1" x14ac:dyDescent="0.25">
      <c r="A7594" s="3"/>
      <c r="F7594" s="19"/>
      <c r="G7594" s="19"/>
      <c r="N7594" s="19"/>
      <c r="P7594" s="19"/>
      <c r="AL7594" s="19"/>
    </row>
    <row r="7595" spans="1:38" s="11" customFormat="1" x14ac:dyDescent="0.25">
      <c r="A7595" s="3"/>
      <c r="F7595" s="19"/>
      <c r="G7595" s="19"/>
      <c r="N7595" s="19"/>
      <c r="P7595" s="19"/>
      <c r="AL7595" s="19"/>
    </row>
    <row r="7596" spans="1:38" s="11" customFormat="1" x14ac:dyDescent="0.25">
      <c r="A7596" s="3"/>
      <c r="F7596" s="19"/>
      <c r="G7596" s="19"/>
      <c r="N7596" s="19"/>
      <c r="P7596" s="19"/>
      <c r="AL7596" s="19"/>
    </row>
    <row r="7597" spans="1:38" s="11" customFormat="1" x14ac:dyDescent="0.25">
      <c r="A7597" s="3"/>
      <c r="F7597" s="19"/>
      <c r="G7597" s="19"/>
      <c r="N7597" s="19"/>
      <c r="P7597" s="19"/>
      <c r="AL7597" s="19"/>
    </row>
    <row r="7598" spans="1:38" s="11" customFormat="1" x14ac:dyDescent="0.25">
      <c r="A7598" s="3"/>
      <c r="F7598" s="19"/>
      <c r="G7598" s="19"/>
      <c r="N7598" s="19"/>
      <c r="P7598" s="19"/>
      <c r="AL7598" s="19"/>
    </row>
    <row r="7599" spans="1:38" s="11" customFormat="1" x14ac:dyDescent="0.25">
      <c r="A7599" s="3"/>
      <c r="F7599" s="19"/>
      <c r="G7599" s="19"/>
      <c r="N7599" s="19"/>
      <c r="P7599" s="19"/>
      <c r="AL7599" s="19"/>
    </row>
    <row r="7600" spans="1:38" s="11" customFormat="1" x14ac:dyDescent="0.25">
      <c r="A7600" s="3"/>
      <c r="F7600" s="19"/>
      <c r="G7600" s="19"/>
      <c r="N7600" s="19"/>
      <c r="P7600" s="19"/>
      <c r="AL7600" s="19"/>
    </row>
    <row r="7601" spans="1:38" s="11" customFormat="1" x14ac:dyDescent="0.25">
      <c r="A7601" s="3"/>
      <c r="F7601" s="19"/>
      <c r="G7601" s="19"/>
      <c r="N7601" s="19"/>
      <c r="P7601" s="19"/>
      <c r="AL7601" s="19"/>
    </row>
    <row r="7602" spans="1:38" s="11" customFormat="1" x14ac:dyDescent="0.25">
      <c r="A7602" s="3"/>
      <c r="F7602" s="19"/>
      <c r="G7602" s="19"/>
      <c r="N7602" s="19"/>
      <c r="P7602" s="19"/>
      <c r="AL7602" s="19"/>
    </row>
    <row r="7603" spans="1:38" s="11" customFormat="1" x14ac:dyDescent="0.25">
      <c r="A7603" s="3"/>
      <c r="F7603" s="19"/>
      <c r="G7603" s="19"/>
      <c r="N7603" s="19"/>
      <c r="P7603" s="19"/>
      <c r="AL7603" s="19"/>
    </row>
    <row r="7604" spans="1:38" s="11" customFormat="1" x14ac:dyDescent="0.25">
      <c r="A7604" s="3"/>
      <c r="F7604" s="19"/>
      <c r="G7604" s="19"/>
      <c r="N7604" s="19"/>
      <c r="P7604" s="19"/>
      <c r="AL7604" s="19"/>
    </row>
    <row r="7605" spans="1:38" s="11" customFormat="1" x14ac:dyDescent="0.25">
      <c r="A7605" s="3"/>
      <c r="F7605" s="19"/>
      <c r="G7605" s="19"/>
      <c r="N7605" s="19"/>
      <c r="P7605" s="19"/>
      <c r="AL7605" s="19"/>
    </row>
    <row r="7606" spans="1:38" s="11" customFormat="1" x14ac:dyDescent="0.25">
      <c r="A7606" s="3"/>
      <c r="F7606" s="19"/>
      <c r="G7606" s="19"/>
      <c r="N7606" s="19"/>
      <c r="P7606" s="19"/>
      <c r="AL7606" s="19"/>
    </row>
    <row r="7607" spans="1:38" s="11" customFormat="1" x14ac:dyDescent="0.25">
      <c r="A7607" s="3"/>
      <c r="F7607" s="19"/>
      <c r="G7607" s="19"/>
      <c r="N7607" s="19"/>
      <c r="P7607" s="19"/>
      <c r="AL7607" s="19"/>
    </row>
    <row r="7608" spans="1:38" s="11" customFormat="1" x14ac:dyDescent="0.25">
      <c r="A7608" s="3"/>
      <c r="F7608" s="19"/>
      <c r="G7608" s="19"/>
      <c r="N7608" s="19"/>
      <c r="P7608" s="19"/>
      <c r="AL7608" s="19"/>
    </row>
    <row r="7609" spans="1:38" s="11" customFormat="1" x14ac:dyDescent="0.25">
      <c r="A7609" s="3"/>
      <c r="F7609" s="19"/>
      <c r="G7609" s="19"/>
      <c r="N7609" s="19"/>
      <c r="P7609" s="19"/>
      <c r="AL7609" s="19"/>
    </row>
    <row r="7610" spans="1:38" s="11" customFormat="1" x14ac:dyDescent="0.25">
      <c r="A7610" s="3"/>
      <c r="F7610" s="19"/>
      <c r="G7610" s="19"/>
      <c r="N7610" s="19"/>
      <c r="P7610" s="19"/>
      <c r="AL7610" s="19"/>
    </row>
    <row r="7611" spans="1:38" s="11" customFormat="1" x14ac:dyDescent="0.25">
      <c r="A7611" s="3"/>
      <c r="F7611" s="19"/>
      <c r="G7611" s="19"/>
      <c r="N7611" s="19"/>
      <c r="P7611" s="19"/>
      <c r="AL7611" s="19"/>
    </row>
    <row r="7612" spans="1:38" s="11" customFormat="1" x14ac:dyDescent="0.25">
      <c r="A7612" s="3"/>
      <c r="F7612" s="19"/>
      <c r="G7612" s="19"/>
      <c r="N7612" s="19"/>
      <c r="P7612" s="19"/>
      <c r="AL7612" s="19"/>
    </row>
    <row r="7613" spans="1:38" s="11" customFormat="1" x14ac:dyDescent="0.25">
      <c r="A7613" s="3"/>
      <c r="F7613" s="19"/>
      <c r="G7613" s="19"/>
      <c r="N7613" s="19"/>
      <c r="P7613" s="19"/>
      <c r="AL7613" s="19"/>
    </row>
    <row r="7614" spans="1:38" s="11" customFormat="1" x14ac:dyDescent="0.25">
      <c r="A7614" s="3"/>
      <c r="F7614" s="19"/>
      <c r="G7614" s="19"/>
      <c r="N7614" s="19"/>
      <c r="P7614" s="19"/>
      <c r="AL7614" s="19"/>
    </row>
    <row r="7615" spans="1:38" s="11" customFormat="1" x14ac:dyDescent="0.25">
      <c r="A7615" s="3"/>
      <c r="F7615" s="19"/>
      <c r="G7615" s="19"/>
      <c r="N7615" s="19"/>
      <c r="P7615" s="19"/>
      <c r="AL7615" s="19"/>
    </row>
    <row r="7616" spans="1:38" s="11" customFormat="1" x14ac:dyDescent="0.25">
      <c r="A7616" s="3"/>
      <c r="F7616" s="19"/>
      <c r="G7616" s="19"/>
      <c r="N7616" s="19"/>
      <c r="P7616" s="19"/>
      <c r="AL7616" s="19"/>
    </row>
    <row r="7617" spans="1:38" s="11" customFormat="1" x14ac:dyDescent="0.25">
      <c r="A7617" s="3"/>
      <c r="F7617" s="19"/>
      <c r="G7617" s="19"/>
      <c r="N7617" s="19"/>
      <c r="P7617" s="19"/>
      <c r="AL7617" s="19"/>
    </row>
    <row r="7618" spans="1:38" s="11" customFormat="1" x14ac:dyDescent="0.25">
      <c r="A7618" s="3"/>
      <c r="F7618" s="19"/>
      <c r="G7618" s="19"/>
      <c r="N7618" s="19"/>
      <c r="P7618" s="19"/>
      <c r="AL7618" s="19"/>
    </row>
    <row r="7619" spans="1:38" s="11" customFormat="1" x14ac:dyDescent="0.25">
      <c r="A7619" s="3"/>
      <c r="F7619" s="19"/>
      <c r="G7619" s="19"/>
      <c r="N7619" s="19"/>
      <c r="P7619" s="19"/>
      <c r="AL7619" s="19"/>
    </row>
    <row r="7620" spans="1:38" s="11" customFormat="1" x14ac:dyDescent="0.25">
      <c r="A7620" s="3"/>
      <c r="F7620" s="19"/>
      <c r="G7620" s="19"/>
      <c r="N7620" s="19"/>
      <c r="P7620" s="19"/>
      <c r="AL7620" s="19"/>
    </row>
    <row r="7621" spans="1:38" s="11" customFormat="1" x14ac:dyDescent="0.25">
      <c r="A7621" s="3"/>
      <c r="F7621" s="19"/>
      <c r="G7621" s="19"/>
      <c r="N7621" s="19"/>
      <c r="P7621" s="19"/>
      <c r="AL7621" s="19"/>
    </row>
    <row r="7622" spans="1:38" s="11" customFormat="1" x14ac:dyDescent="0.25">
      <c r="A7622" s="3"/>
      <c r="F7622" s="19"/>
      <c r="G7622" s="19"/>
      <c r="N7622" s="19"/>
      <c r="P7622" s="19"/>
      <c r="AL7622" s="19"/>
    </row>
    <row r="7623" spans="1:38" s="11" customFormat="1" x14ac:dyDescent="0.25">
      <c r="A7623" s="3"/>
      <c r="F7623" s="19"/>
      <c r="G7623" s="19"/>
      <c r="N7623" s="19"/>
      <c r="P7623" s="19"/>
      <c r="AL7623" s="19"/>
    </row>
    <row r="7624" spans="1:38" s="11" customFormat="1" x14ac:dyDescent="0.25">
      <c r="A7624" s="3"/>
      <c r="F7624" s="19"/>
      <c r="G7624" s="19"/>
      <c r="N7624" s="19"/>
      <c r="P7624" s="19"/>
      <c r="AL7624" s="19"/>
    </row>
    <row r="7625" spans="1:38" s="11" customFormat="1" x14ac:dyDescent="0.25">
      <c r="A7625" s="3"/>
      <c r="F7625" s="19"/>
      <c r="G7625" s="19"/>
      <c r="N7625" s="19"/>
      <c r="P7625" s="19"/>
      <c r="AL7625" s="19"/>
    </row>
    <row r="7626" spans="1:38" s="11" customFormat="1" x14ac:dyDescent="0.25">
      <c r="A7626" s="3"/>
      <c r="F7626" s="19"/>
      <c r="G7626" s="19"/>
      <c r="N7626" s="19"/>
      <c r="P7626" s="19"/>
      <c r="AL7626" s="19"/>
    </row>
    <row r="7627" spans="1:38" s="11" customFormat="1" x14ac:dyDescent="0.25">
      <c r="A7627" s="3"/>
      <c r="F7627" s="19"/>
      <c r="G7627" s="19"/>
      <c r="N7627" s="19"/>
      <c r="P7627" s="19"/>
      <c r="AL7627" s="19"/>
    </row>
    <row r="7628" spans="1:38" s="11" customFormat="1" x14ac:dyDescent="0.25">
      <c r="A7628" s="3"/>
      <c r="F7628" s="19"/>
      <c r="G7628" s="19"/>
      <c r="N7628" s="19"/>
      <c r="P7628" s="19"/>
      <c r="AL7628" s="19"/>
    </row>
    <row r="7629" spans="1:38" s="11" customFormat="1" x14ac:dyDescent="0.25">
      <c r="A7629" s="3"/>
      <c r="F7629" s="19"/>
      <c r="G7629" s="19"/>
      <c r="N7629" s="19"/>
      <c r="P7629" s="19"/>
      <c r="AL7629" s="19"/>
    </row>
    <row r="7630" spans="1:38" s="11" customFormat="1" x14ac:dyDescent="0.25">
      <c r="A7630" s="3"/>
      <c r="F7630" s="19"/>
      <c r="G7630" s="19"/>
      <c r="N7630" s="19"/>
      <c r="P7630" s="19"/>
      <c r="AL7630" s="19"/>
    </row>
    <row r="7631" spans="1:38" s="11" customFormat="1" x14ac:dyDescent="0.25">
      <c r="A7631" s="3"/>
      <c r="F7631" s="19"/>
      <c r="G7631" s="19"/>
      <c r="N7631" s="19"/>
      <c r="P7631" s="19"/>
      <c r="AL7631" s="19"/>
    </row>
    <row r="7632" spans="1:38" s="11" customFormat="1" x14ac:dyDescent="0.25">
      <c r="A7632" s="3"/>
      <c r="F7632" s="19"/>
      <c r="G7632" s="19"/>
      <c r="N7632" s="19"/>
      <c r="P7632" s="19"/>
      <c r="AL7632" s="19"/>
    </row>
    <row r="7633" spans="1:38" s="11" customFormat="1" x14ac:dyDescent="0.25">
      <c r="A7633" s="3"/>
      <c r="F7633" s="19"/>
      <c r="G7633" s="19"/>
      <c r="N7633" s="19"/>
      <c r="P7633" s="19"/>
      <c r="AL7633" s="19"/>
    </row>
    <row r="7634" spans="1:38" s="11" customFormat="1" x14ac:dyDescent="0.25">
      <c r="A7634" s="3"/>
      <c r="F7634" s="19"/>
      <c r="G7634" s="19"/>
      <c r="N7634" s="19"/>
      <c r="P7634" s="19"/>
      <c r="AL7634" s="19"/>
    </row>
    <row r="7635" spans="1:38" s="11" customFormat="1" x14ac:dyDescent="0.25">
      <c r="A7635" s="3"/>
      <c r="F7635" s="19"/>
      <c r="G7635" s="19"/>
      <c r="N7635" s="19"/>
      <c r="P7635" s="19"/>
      <c r="AL7635" s="19"/>
    </row>
    <row r="7636" spans="1:38" s="11" customFormat="1" x14ac:dyDescent="0.25">
      <c r="A7636" s="3"/>
      <c r="F7636" s="19"/>
      <c r="G7636" s="19"/>
      <c r="N7636" s="19"/>
      <c r="P7636" s="19"/>
      <c r="AL7636" s="19"/>
    </row>
    <row r="7637" spans="1:38" s="11" customFormat="1" x14ac:dyDescent="0.25">
      <c r="A7637" s="3"/>
      <c r="F7637" s="19"/>
      <c r="G7637" s="19"/>
      <c r="N7637" s="19"/>
      <c r="P7637" s="19"/>
      <c r="AL7637" s="19"/>
    </row>
    <row r="7638" spans="1:38" s="11" customFormat="1" x14ac:dyDescent="0.25">
      <c r="A7638" s="3"/>
      <c r="F7638" s="19"/>
      <c r="G7638" s="19"/>
      <c r="N7638" s="19"/>
      <c r="P7638" s="19"/>
      <c r="AL7638" s="19"/>
    </row>
    <row r="7639" spans="1:38" s="11" customFormat="1" x14ac:dyDescent="0.25">
      <c r="A7639" s="3"/>
      <c r="F7639" s="19"/>
      <c r="G7639" s="19"/>
      <c r="N7639" s="19"/>
      <c r="P7639" s="19"/>
      <c r="AL7639" s="19"/>
    </row>
    <row r="7640" spans="1:38" s="11" customFormat="1" x14ac:dyDescent="0.25">
      <c r="A7640" s="3"/>
      <c r="F7640" s="19"/>
      <c r="G7640" s="19"/>
      <c r="N7640" s="19"/>
      <c r="P7640" s="19"/>
      <c r="AL7640" s="19"/>
    </row>
    <row r="7641" spans="1:38" s="11" customFormat="1" x14ac:dyDescent="0.25">
      <c r="A7641" s="3"/>
      <c r="F7641" s="19"/>
      <c r="G7641" s="19"/>
      <c r="N7641" s="19"/>
      <c r="P7641" s="19"/>
      <c r="AL7641" s="19"/>
    </row>
    <row r="7642" spans="1:38" s="11" customFormat="1" x14ac:dyDescent="0.25">
      <c r="A7642" s="3"/>
      <c r="F7642" s="19"/>
      <c r="G7642" s="19"/>
      <c r="N7642" s="19"/>
      <c r="P7642" s="19"/>
      <c r="AL7642" s="19"/>
    </row>
    <row r="7643" spans="1:38" s="11" customFormat="1" x14ac:dyDescent="0.25">
      <c r="A7643" s="3"/>
      <c r="F7643" s="19"/>
      <c r="G7643" s="19"/>
      <c r="N7643" s="19"/>
      <c r="P7643" s="19"/>
      <c r="AL7643" s="19"/>
    </row>
    <row r="7644" spans="1:38" s="11" customFormat="1" x14ac:dyDescent="0.25">
      <c r="A7644" s="3"/>
      <c r="F7644" s="19"/>
      <c r="G7644" s="19"/>
      <c r="N7644" s="19"/>
      <c r="P7644" s="19"/>
      <c r="AL7644" s="19"/>
    </row>
    <row r="7645" spans="1:38" s="11" customFormat="1" x14ac:dyDescent="0.25">
      <c r="A7645" s="3"/>
      <c r="F7645" s="19"/>
      <c r="G7645" s="19"/>
      <c r="N7645" s="19"/>
      <c r="P7645" s="19"/>
      <c r="AL7645" s="19"/>
    </row>
    <row r="7646" spans="1:38" s="11" customFormat="1" x14ac:dyDescent="0.25">
      <c r="A7646" s="3"/>
      <c r="F7646" s="19"/>
      <c r="G7646" s="19"/>
      <c r="N7646" s="19"/>
      <c r="P7646" s="19"/>
      <c r="AL7646" s="19"/>
    </row>
    <row r="7647" spans="1:38" s="11" customFormat="1" x14ac:dyDescent="0.25">
      <c r="A7647" s="3"/>
      <c r="F7647" s="19"/>
      <c r="G7647" s="19"/>
      <c r="N7647" s="19"/>
      <c r="P7647" s="19"/>
      <c r="AL7647" s="19"/>
    </row>
    <row r="7648" spans="1:38" s="11" customFormat="1" x14ac:dyDescent="0.25">
      <c r="A7648" s="3"/>
      <c r="F7648" s="19"/>
      <c r="G7648" s="19"/>
      <c r="N7648" s="19"/>
      <c r="P7648" s="19"/>
      <c r="AL7648" s="19"/>
    </row>
    <row r="7649" spans="1:38" s="11" customFormat="1" x14ac:dyDescent="0.25">
      <c r="A7649" s="3"/>
      <c r="F7649" s="19"/>
      <c r="G7649" s="19"/>
      <c r="N7649" s="19"/>
      <c r="P7649" s="19"/>
      <c r="AL7649" s="19"/>
    </row>
    <row r="7650" spans="1:38" s="11" customFormat="1" x14ac:dyDescent="0.25">
      <c r="A7650" s="3"/>
      <c r="F7650" s="19"/>
      <c r="G7650" s="19"/>
      <c r="N7650" s="19"/>
      <c r="P7650" s="19"/>
      <c r="AL7650" s="19"/>
    </row>
    <row r="7651" spans="1:38" s="11" customFormat="1" x14ac:dyDescent="0.25">
      <c r="A7651" s="3"/>
      <c r="F7651" s="19"/>
      <c r="G7651" s="19"/>
      <c r="N7651" s="19"/>
      <c r="P7651" s="19"/>
      <c r="AL7651" s="19"/>
    </row>
    <row r="7652" spans="1:38" s="11" customFormat="1" x14ac:dyDescent="0.25">
      <c r="A7652" s="3"/>
      <c r="F7652" s="19"/>
      <c r="G7652" s="19"/>
      <c r="N7652" s="19"/>
      <c r="P7652" s="19"/>
      <c r="AL7652" s="19"/>
    </row>
    <row r="7653" spans="1:38" s="11" customFormat="1" x14ac:dyDescent="0.25">
      <c r="A7653" s="3"/>
      <c r="F7653" s="19"/>
      <c r="G7653" s="19"/>
      <c r="N7653" s="19"/>
      <c r="P7653" s="19"/>
      <c r="AL7653" s="19"/>
    </row>
    <row r="7654" spans="1:38" s="11" customFormat="1" x14ac:dyDescent="0.25">
      <c r="A7654" s="3"/>
      <c r="F7654" s="19"/>
      <c r="G7654" s="19"/>
      <c r="N7654" s="19"/>
      <c r="P7654" s="19"/>
      <c r="AL7654" s="19"/>
    </row>
    <row r="7655" spans="1:38" s="11" customFormat="1" x14ac:dyDescent="0.25">
      <c r="A7655" s="3"/>
      <c r="F7655" s="19"/>
      <c r="G7655" s="19"/>
      <c r="N7655" s="19"/>
      <c r="P7655" s="19"/>
      <c r="AL7655" s="19"/>
    </row>
    <row r="7656" spans="1:38" s="11" customFormat="1" x14ac:dyDescent="0.25">
      <c r="A7656" s="3"/>
      <c r="F7656" s="19"/>
      <c r="G7656" s="19"/>
      <c r="N7656" s="19"/>
      <c r="P7656" s="19"/>
      <c r="AL7656" s="19"/>
    </row>
    <row r="7657" spans="1:38" s="11" customFormat="1" x14ac:dyDescent="0.25">
      <c r="A7657" s="3"/>
      <c r="F7657" s="19"/>
      <c r="G7657" s="19"/>
      <c r="N7657" s="19"/>
      <c r="P7657" s="19"/>
      <c r="AL7657" s="19"/>
    </row>
    <row r="7658" spans="1:38" s="11" customFormat="1" x14ac:dyDescent="0.25">
      <c r="A7658" s="3"/>
      <c r="F7658" s="19"/>
      <c r="G7658" s="19"/>
      <c r="N7658" s="19"/>
      <c r="P7658" s="19"/>
      <c r="AL7658" s="19"/>
    </row>
    <row r="7659" spans="1:38" s="11" customFormat="1" x14ac:dyDescent="0.25">
      <c r="A7659" s="3"/>
      <c r="F7659" s="19"/>
      <c r="G7659" s="19"/>
      <c r="N7659" s="19"/>
      <c r="P7659" s="19"/>
      <c r="AL7659" s="19"/>
    </row>
    <row r="7660" spans="1:38" s="11" customFormat="1" x14ac:dyDescent="0.25">
      <c r="A7660" s="3"/>
      <c r="F7660" s="19"/>
      <c r="G7660" s="19"/>
      <c r="N7660" s="19"/>
      <c r="P7660" s="19"/>
      <c r="AL7660" s="19"/>
    </row>
    <row r="7661" spans="1:38" s="11" customFormat="1" x14ac:dyDescent="0.25">
      <c r="A7661" s="3"/>
      <c r="F7661" s="19"/>
      <c r="G7661" s="19"/>
      <c r="N7661" s="19"/>
      <c r="P7661" s="19"/>
      <c r="AL7661" s="19"/>
    </row>
    <row r="7662" spans="1:38" s="11" customFormat="1" x14ac:dyDescent="0.25">
      <c r="A7662" s="3"/>
      <c r="F7662" s="19"/>
      <c r="G7662" s="19"/>
      <c r="N7662" s="19"/>
      <c r="P7662" s="19"/>
      <c r="AL7662" s="19"/>
    </row>
    <row r="7663" spans="1:38" s="11" customFormat="1" x14ac:dyDescent="0.25">
      <c r="A7663" s="3"/>
      <c r="F7663" s="19"/>
      <c r="G7663" s="19"/>
      <c r="N7663" s="19"/>
      <c r="P7663" s="19"/>
      <c r="AL7663" s="19"/>
    </row>
    <row r="7664" spans="1:38" s="11" customFormat="1" x14ac:dyDescent="0.25">
      <c r="A7664" s="3"/>
      <c r="F7664" s="19"/>
      <c r="G7664" s="19"/>
      <c r="N7664" s="19"/>
      <c r="P7664" s="19"/>
      <c r="AL7664" s="19"/>
    </row>
    <row r="7665" spans="1:38" s="11" customFormat="1" x14ac:dyDescent="0.25">
      <c r="A7665" s="3"/>
      <c r="F7665" s="19"/>
      <c r="G7665" s="19"/>
      <c r="N7665" s="19"/>
      <c r="P7665" s="19"/>
      <c r="AL7665" s="19"/>
    </row>
    <row r="7666" spans="1:38" s="11" customFormat="1" x14ac:dyDescent="0.25">
      <c r="A7666" s="3"/>
      <c r="F7666" s="19"/>
      <c r="G7666" s="19"/>
      <c r="N7666" s="19"/>
      <c r="P7666" s="19"/>
      <c r="AL7666" s="19"/>
    </row>
    <row r="7667" spans="1:38" s="11" customFormat="1" x14ac:dyDescent="0.25">
      <c r="A7667" s="3"/>
      <c r="F7667" s="19"/>
      <c r="G7667" s="19"/>
      <c r="N7667" s="19"/>
      <c r="P7667" s="19"/>
      <c r="AL7667" s="19"/>
    </row>
    <row r="7668" spans="1:38" s="11" customFormat="1" x14ac:dyDescent="0.25">
      <c r="A7668" s="3"/>
      <c r="F7668" s="19"/>
      <c r="G7668" s="19"/>
      <c r="N7668" s="19"/>
      <c r="P7668" s="19"/>
      <c r="AL7668" s="19"/>
    </row>
    <row r="7669" spans="1:38" s="11" customFormat="1" x14ac:dyDescent="0.25">
      <c r="A7669" s="3"/>
      <c r="F7669" s="19"/>
      <c r="G7669" s="19"/>
      <c r="N7669" s="19"/>
      <c r="P7669" s="19"/>
      <c r="AL7669" s="19"/>
    </row>
    <row r="7670" spans="1:38" s="11" customFormat="1" x14ac:dyDescent="0.25">
      <c r="A7670" s="3"/>
      <c r="F7670" s="19"/>
      <c r="G7670" s="19"/>
      <c r="N7670" s="19"/>
      <c r="P7670" s="19"/>
      <c r="AL7670" s="19"/>
    </row>
    <row r="7671" spans="1:38" s="11" customFormat="1" x14ac:dyDescent="0.25">
      <c r="A7671" s="3"/>
      <c r="F7671" s="19"/>
      <c r="G7671" s="19"/>
      <c r="N7671" s="19"/>
      <c r="P7671" s="19"/>
      <c r="AL7671" s="19"/>
    </row>
    <row r="7672" spans="1:38" s="11" customFormat="1" x14ac:dyDescent="0.25">
      <c r="A7672" s="3"/>
      <c r="F7672" s="19"/>
      <c r="G7672" s="19"/>
      <c r="N7672" s="19"/>
      <c r="P7672" s="19"/>
      <c r="AL7672" s="19"/>
    </row>
    <row r="7673" spans="1:38" s="11" customFormat="1" x14ac:dyDescent="0.25">
      <c r="A7673" s="3"/>
      <c r="F7673" s="19"/>
      <c r="G7673" s="19"/>
      <c r="N7673" s="19"/>
      <c r="P7673" s="19"/>
      <c r="AL7673" s="19"/>
    </row>
    <row r="7674" spans="1:38" s="11" customFormat="1" x14ac:dyDescent="0.25">
      <c r="A7674" s="3"/>
      <c r="F7674" s="19"/>
      <c r="G7674" s="19"/>
      <c r="N7674" s="19"/>
      <c r="P7674" s="19"/>
      <c r="AL7674" s="19"/>
    </row>
    <row r="7675" spans="1:38" s="11" customFormat="1" x14ac:dyDescent="0.25">
      <c r="A7675" s="3"/>
      <c r="F7675" s="19"/>
      <c r="G7675" s="19"/>
      <c r="N7675" s="19"/>
      <c r="P7675" s="19"/>
      <c r="AL7675" s="19"/>
    </row>
    <row r="7676" spans="1:38" s="11" customFormat="1" x14ac:dyDescent="0.25">
      <c r="A7676" s="3"/>
      <c r="F7676" s="19"/>
      <c r="G7676" s="19"/>
      <c r="N7676" s="19"/>
      <c r="P7676" s="19"/>
      <c r="AL7676" s="19"/>
    </row>
    <row r="7677" spans="1:38" s="11" customFormat="1" x14ac:dyDescent="0.25">
      <c r="A7677" s="3"/>
      <c r="F7677" s="19"/>
      <c r="G7677" s="19"/>
      <c r="N7677" s="19"/>
      <c r="P7677" s="19"/>
      <c r="AL7677" s="19"/>
    </row>
    <row r="7678" spans="1:38" s="11" customFormat="1" x14ac:dyDescent="0.25">
      <c r="A7678" s="3"/>
      <c r="F7678" s="19"/>
      <c r="G7678" s="19"/>
      <c r="N7678" s="19"/>
      <c r="P7678" s="19"/>
      <c r="AL7678" s="19"/>
    </row>
    <row r="7679" spans="1:38" s="11" customFormat="1" x14ac:dyDescent="0.25">
      <c r="A7679" s="3"/>
      <c r="F7679" s="19"/>
      <c r="G7679" s="19"/>
      <c r="N7679" s="19"/>
      <c r="P7679" s="19"/>
      <c r="AL7679" s="19"/>
    </row>
    <row r="7680" spans="1:38" s="11" customFormat="1" x14ac:dyDescent="0.25">
      <c r="A7680" s="3"/>
      <c r="F7680" s="19"/>
      <c r="G7680" s="19"/>
      <c r="N7680" s="19"/>
      <c r="P7680" s="19"/>
      <c r="AL7680" s="19"/>
    </row>
    <row r="7681" spans="1:38" s="11" customFormat="1" x14ac:dyDescent="0.25">
      <c r="A7681" s="3"/>
      <c r="F7681" s="19"/>
      <c r="G7681" s="19"/>
      <c r="N7681" s="19"/>
      <c r="P7681" s="19"/>
      <c r="AL7681" s="19"/>
    </row>
    <row r="7682" spans="1:38" s="11" customFormat="1" x14ac:dyDescent="0.25">
      <c r="A7682" s="3"/>
      <c r="F7682" s="19"/>
      <c r="G7682" s="19"/>
      <c r="N7682" s="19"/>
      <c r="P7682" s="19"/>
      <c r="AL7682" s="19"/>
    </row>
    <row r="7683" spans="1:38" s="11" customFormat="1" x14ac:dyDescent="0.25">
      <c r="A7683" s="3"/>
      <c r="F7683" s="19"/>
      <c r="G7683" s="19"/>
      <c r="N7683" s="19"/>
      <c r="P7683" s="19"/>
      <c r="AL7683" s="19"/>
    </row>
    <row r="7684" spans="1:38" s="11" customFormat="1" x14ac:dyDescent="0.25">
      <c r="A7684" s="3"/>
      <c r="F7684" s="19"/>
      <c r="G7684" s="19"/>
      <c r="N7684" s="19"/>
      <c r="P7684" s="19"/>
      <c r="AL7684" s="19"/>
    </row>
    <row r="7685" spans="1:38" s="11" customFormat="1" x14ac:dyDescent="0.25">
      <c r="A7685" s="3"/>
      <c r="F7685" s="19"/>
      <c r="G7685" s="19"/>
      <c r="N7685" s="19"/>
      <c r="P7685" s="19"/>
      <c r="AL7685" s="19"/>
    </row>
    <row r="7686" spans="1:38" s="11" customFormat="1" x14ac:dyDescent="0.25">
      <c r="A7686" s="3"/>
      <c r="F7686" s="19"/>
      <c r="G7686" s="19"/>
      <c r="N7686" s="19"/>
      <c r="P7686" s="19"/>
      <c r="AL7686" s="19"/>
    </row>
    <row r="7687" spans="1:38" s="11" customFormat="1" x14ac:dyDescent="0.25">
      <c r="A7687" s="3"/>
      <c r="F7687" s="19"/>
      <c r="G7687" s="19"/>
      <c r="N7687" s="19"/>
      <c r="P7687" s="19"/>
      <c r="AL7687" s="19"/>
    </row>
    <row r="7688" spans="1:38" s="11" customFormat="1" x14ac:dyDescent="0.25">
      <c r="A7688" s="3"/>
      <c r="F7688" s="19"/>
      <c r="G7688" s="19"/>
      <c r="N7688" s="19"/>
      <c r="P7688" s="19"/>
      <c r="AL7688" s="19"/>
    </row>
    <row r="7689" spans="1:38" s="11" customFormat="1" x14ac:dyDescent="0.25">
      <c r="A7689" s="3"/>
      <c r="F7689" s="19"/>
      <c r="G7689" s="19"/>
      <c r="N7689" s="19"/>
      <c r="P7689" s="19"/>
      <c r="AL7689" s="19"/>
    </row>
    <row r="7690" spans="1:38" s="11" customFormat="1" x14ac:dyDescent="0.25">
      <c r="A7690" s="3"/>
      <c r="F7690" s="19"/>
      <c r="G7690" s="19"/>
      <c r="N7690" s="19"/>
      <c r="P7690" s="19"/>
      <c r="AL7690" s="19"/>
    </row>
    <row r="7691" spans="1:38" s="11" customFormat="1" x14ac:dyDescent="0.25">
      <c r="A7691" s="3"/>
      <c r="F7691" s="19"/>
      <c r="G7691" s="19"/>
      <c r="N7691" s="19"/>
      <c r="P7691" s="19"/>
      <c r="AL7691" s="19"/>
    </row>
    <row r="7692" spans="1:38" s="11" customFormat="1" x14ac:dyDescent="0.25">
      <c r="A7692" s="3"/>
      <c r="F7692" s="19"/>
      <c r="G7692" s="19"/>
      <c r="N7692" s="19"/>
      <c r="P7692" s="19"/>
      <c r="AL7692" s="19"/>
    </row>
    <row r="7693" spans="1:38" s="11" customFormat="1" x14ac:dyDescent="0.25">
      <c r="A7693" s="3"/>
      <c r="F7693" s="19"/>
      <c r="G7693" s="19"/>
      <c r="N7693" s="19"/>
      <c r="P7693" s="19"/>
      <c r="AL7693" s="19"/>
    </row>
    <row r="7694" spans="1:38" s="11" customFormat="1" x14ac:dyDescent="0.25">
      <c r="A7694" s="3"/>
      <c r="F7694" s="19"/>
      <c r="G7694" s="19"/>
      <c r="N7694" s="19"/>
      <c r="P7694" s="19"/>
      <c r="AL7694" s="19"/>
    </row>
    <row r="7695" spans="1:38" s="11" customFormat="1" x14ac:dyDescent="0.25">
      <c r="A7695" s="3"/>
      <c r="F7695" s="19"/>
      <c r="G7695" s="19"/>
      <c r="N7695" s="19"/>
      <c r="P7695" s="19"/>
      <c r="AL7695" s="19"/>
    </row>
    <row r="7696" spans="1:38" s="11" customFormat="1" x14ac:dyDescent="0.25">
      <c r="A7696" s="3"/>
      <c r="F7696" s="19"/>
      <c r="G7696" s="19"/>
      <c r="N7696" s="19"/>
      <c r="P7696" s="19"/>
      <c r="AL7696" s="19"/>
    </row>
    <row r="7697" spans="1:38" s="11" customFormat="1" x14ac:dyDescent="0.25">
      <c r="A7697" s="3"/>
      <c r="F7697" s="19"/>
      <c r="G7697" s="19"/>
      <c r="N7697" s="19"/>
      <c r="P7697" s="19"/>
      <c r="AL7697" s="19"/>
    </row>
    <row r="7698" spans="1:38" s="11" customFormat="1" x14ac:dyDescent="0.25">
      <c r="A7698" s="3"/>
      <c r="F7698" s="19"/>
      <c r="G7698" s="19"/>
      <c r="N7698" s="19"/>
      <c r="P7698" s="19"/>
      <c r="AL7698" s="19"/>
    </row>
    <row r="7699" spans="1:38" s="11" customFormat="1" x14ac:dyDescent="0.25">
      <c r="A7699" s="3"/>
      <c r="F7699" s="19"/>
      <c r="G7699" s="19"/>
      <c r="N7699" s="19"/>
      <c r="P7699" s="19"/>
      <c r="AL7699" s="19"/>
    </row>
    <row r="7700" spans="1:38" s="11" customFormat="1" x14ac:dyDescent="0.25">
      <c r="A7700" s="3"/>
      <c r="F7700" s="19"/>
      <c r="G7700" s="19"/>
      <c r="N7700" s="19"/>
      <c r="P7700" s="19"/>
      <c r="AL7700" s="19"/>
    </row>
    <row r="7701" spans="1:38" s="11" customFormat="1" x14ac:dyDescent="0.25">
      <c r="A7701" s="3"/>
      <c r="F7701" s="19"/>
      <c r="G7701" s="19"/>
      <c r="N7701" s="19"/>
      <c r="P7701" s="19"/>
      <c r="AL7701" s="19"/>
    </row>
    <row r="7702" spans="1:38" s="11" customFormat="1" x14ac:dyDescent="0.25">
      <c r="A7702" s="3"/>
      <c r="F7702" s="19"/>
      <c r="G7702" s="19"/>
      <c r="N7702" s="19"/>
      <c r="P7702" s="19"/>
      <c r="AL7702" s="19"/>
    </row>
    <row r="7703" spans="1:38" s="11" customFormat="1" x14ac:dyDescent="0.25">
      <c r="A7703" s="3"/>
      <c r="F7703" s="19"/>
      <c r="G7703" s="19"/>
      <c r="N7703" s="19"/>
      <c r="P7703" s="19"/>
      <c r="AL7703" s="19"/>
    </row>
    <row r="7704" spans="1:38" s="11" customFormat="1" x14ac:dyDescent="0.25">
      <c r="A7704" s="3"/>
      <c r="F7704" s="19"/>
      <c r="G7704" s="19"/>
      <c r="N7704" s="19"/>
      <c r="P7704" s="19"/>
      <c r="AL7704" s="19"/>
    </row>
    <row r="7705" spans="1:38" s="11" customFormat="1" x14ac:dyDescent="0.25">
      <c r="A7705" s="3"/>
      <c r="F7705" s="19"/>
      <c r="G7705" s="19"/>
      <c r="N7705" s="19"/>
      <c r="P7705" s="19"/>
      <c r="AL7705" s="19"/>
    </row>
    <row r="7706" spans="1:38" s="11" customFormat="1" x14ac:dyDescent="0.25">
      <c r="A7706" s="3"/>
      <c r="F7706" s="19"/>
      <c r="G7706" s="19"/>
      <c r="N7706" s="19"/>
      <c r="P7706" s="19"/>
      <c r="AL7706" s="19"/>
    </row>
    <row r="7707" spans="1:38" s="11" customFormat="1" x14ac:dyDescent="0.25">
      <c r="A7707" s="3"/>
      <c r="F7707" s="19"/>
      <c r="G7707" s="19"/>
      <c r="N7707" s="19"/>
      <c r="P7707" s="19"/>
      <c r="AL7707" s="19"/>
    </row>
    <row r="7708" spans="1:38" s="11" customFormat="1" x14ac:dyDescent="0.25">
      <c r="A7708" s="3"/>
      <c r="F7708" s="19"/>
      <c r="G7708" s="19"/>
      <c r="N7708" s="19"/>
      <c r="P7708" s="19"/>
      <c r="AL7708" s="19"/>
    </row>
    <row r="7709" spans="1:38" s="11" customFormat="1" x14ac:dyDescent="0.25">
      <c r="A7709" s="3"/>
      <c r="F7709" s="19"/>
      <c r="G7709" s="19"/>
      <c r="N7709" s="19"/>
      <c r="P7709" s="19"/>
      <c r="AL7709" s="19"/>
    </row>
    <row r="7710" spans="1:38" s="11" customFormat="1" x14ac:dyDescent="0.25">
      <c r="A7710" s="3"/>
      <c r="F7710" s="19"/>
      <c r="G7710" s="19"/>
      <c r="N7710" s="19"/>
      <c r="P7710" s="19"/>
      <c r="AL7710" s="19"/>
    </row>
    <row r="7711" spans="1:38" s="11" customFormat="1" x14ac:dyDescent="0.25">
      <c r="A7711" s="3"/>
      <c r="F7711" s="19"/>
      <c r="G7711" s="19"/>
      <c r="N7711" s="19"/>
      <c r="P7711" s="19"/>
      <c r="AL7711" s="19"/>
    </row>
    <row r="7712" spans="1:38" s="11" customFormat="1" x14ac:dyDescent="0.25">
      <c r="A7712" s="3"/>
      <c r="F7712" s="19"/>
      <c r="G7712" s="19"/>
      <c r="N7712" s="19"/>
      <c r="P7712" s="19"/>
      <c r="AL7712" s="19"/>
    </row>
    <row r="7713" spans="1:38" s="11" customFormat="1" x14ac:dyDescent="0.25">
      <c r="A7713" s="3"/>
      <c r="F7713" s="19"/>
      <c r="G7713" s="19"/>
      <c r="N7713" s="19"/>
      <c r="P7713" s="19"/>
      <c r="AL7713" s="19"/>
    </row>
    <row r="7714" spans="1:38" s="11" customFormat="1" x14ac:dyDescent="0.25">
      <c r="A7714" s="3"/>
      <c r="F7714" s="19"/>
      <c r="G7714" s="19"/>
      <c r="N7714" s="19"/>
      <c r="P7714" s="19"/>
      <c r="AL7714" s="19"/>
    </row>
    <row r="7715" spans="1:38" s="11" customFormat="1" x14ac:dyDescent="0.25">
      <c r="A7715" s="3"/>
      <c r="F7715" s="19"/>
      <c r="G7715" s="19"/>
      <c r="N7715" s="19"/>
      <c r="P7715" s="19"/>
      <c r="AL7715" s="19"/>
    </row>
    <row r="7716" spans="1:38" s="11" customFormat="1" x14ac:dyDescent="0.25">
      <c r="A7716" s="3"/>
      <c r="F7716" s="19"/>
      <c r="G7716" s="19"/>
      <c r="N7716" s="19"/>
      <c r="P7716" s="19"/>
      <c r="AL7716" s="19"/>
    </row>
    <row r="7717" spans="1:38" s="11" customFormat="1" x14ac:dyDescent="0.25">
      <c r="A7717" s="3"/>
      <c r="F7717" s="19"/>
      <c r="G7717" s="19"/>
      <c r="N7717" s="19"/>
      <c r="P7717" s="19"/>
      <c r="AL7717" s="19"/>
    </row>
    <row r="7718" spans="1:38" s="11" customFormat="1" x14ac:dyDescent="0.25">
      <c r="A7718" s="3"/>
      <c r="F7718" s="19"/>
      <c r="G7718" s="19"/>
      <c r="N7718" s="19"/>
      <c r="P7718" s="19"/>
      <c r="AL7718" s="19"/>
    </row>
    <row r="7719" spans="1:38" s="11" customFormat="1" x14ac:dyDescent="0.25">
      <c r="A7719" s="3"/>
      <c r="F7719" s="19"/>
      <c r="G7719" s="19"/>
      <c r="N7719" s="19"/>
      <c r="P7719" s="19"/>
      <c r="AL7719" s="19"/>
    </row>
    <row r="7720" spans="1:38" s="11" customFormat="1" x14ac:dyDescent="0.25">
      <c r="A7720" s="3"/>
      <c r="F7720" s="19"/>
      <c r="G7720" s="19"/>
      <c r="N7720" s="19"/>
      <c r="P7720" s="19"/>
      <c r="AL7720" s="19"/>
    </row>
    <row r="7721" spans="1:38" s="11" customFormat="1" x14ac:dyDescent="0.25">
      <c r="A7721" s="3"/>
      <c r="F7721" s="19"/>
      <c r="G7721" s="19"/>
      <c r="N7721" s="19"/>
      <c r="P7721" s="19"/>
      <c r="AL7721" s="19"/>
    </row>
    <row r="7722" spans="1:38" s="11" customFormat="1" x14ac:dyDescent="0.25">
      <c r="A7722" s="3"/>
      <c r="F7722" s="19"/>
      <c r="G7722" s="19"/>
      <c r="N7722" s="19"/>
      <c r="P7722" s="19"/>
      <c r="AL7722" s="19"/>
    </row>
    <row r="7723" spans="1:38" s="11" customFormat="1" x14ac:dyDescent="0.25">
      <c r="A7723" s="3"/>
      <c r="F7723" s="19"/>
      <c r="G7723" s="19"/>
      <c r="N7723" s="19"/>
      <c r="P7723" s="19"/>
      <c r="AL7723" s="19"/>
    </row>
    <row r="7724" spans="1:38" s="11" customFormat="1" x14ac:dyDescent="0.25">
      <c r="A7724" s="3"/>
      <c r="F7724" s="19"/>
      <c r="G7724" s="19"/>
      <c r="N7724" s="19"/>
      <c r="P7724" s="19"/>
      <c r="AL7724" s="19"/>
    </row>
    <row r="7725" spans="1:38" s="11" customFormat="1" x14ac:dyDescent="0.25">
      <c r="A7725" s="3"/>
      <c r="F7725" s="19"/>
      <c r="G7725" s="19"/>
      <c r="N7725" s="19"/>
      <c r="P7725" s="19"/>
      <c r="AL7725" s="19"/>
    </row>
    <row r="7726" spans="1:38" s="11" customFormat="1" x14ac:dyDescent="0.25">
      <c r="A7726" s="3"/>
      <c r="F7726" s="19"/>
      <c r="G7726" s="19"/>
      <c r="N7726" s="19"/>
      <c r="P7726" s="19"/>
      <c r="AL7726" s="19"/>
    </row>
    <row r="7727" spans="1:38" s="11" customFormat="1" x14ac:dyDescent="0.25">
      <c r="A7727" s="3"/>
      <c r="F7727" s="19"/>
      <c r="G7727" s="19"/>
      <c r="N7727" s="19"/>
      <c r="P7727" s="19"/>
      <c r="AL7727" s="19"/>
    </row>
    <row r="7728" spans="1:38" s="11" customFormat="1" x14ac:dyDescent="0.25">
      <c r="A7728" s="3"/>
      <c r="F7728" s="19"/>
      <c r="G7728" s="19"/>
      <c r="N7728" s="19"/>
      <c r="P7728" s="19"/>
      <c r="AL7728" s="19"/>
    </row>
    <row r="7729" spans="1:38" s="11" customFormat="1" x14ac:dyDescent="0.25">
      <c r="A7729" s="3"/>
      <c r="F7729" s="19"/>
      <c r="G7729" s="19"/>
      <c r="N7729" s="19"/>
      <c r="P7729" s="19"/>
      <c r="AL7729" s="19"/>
    </row>
    <row r="7730" spans="1:38" s="11" customFormat="1" x14ac:dyDescent="0.25">
      <c r="A7730" s="3"/>
      <c r="F7730" s="19"/>
      <c r="G7730" s="19"/>
      <c r="N7730" s="19"/>
      <c r="P7730" s="19"/>
      <c r="AL7730" s="19"/>
    </row>
    <row r="7731" spans="1:38" s="11" customFormat="1" x14ac:dyDescent="0.25">
      <c r="A7731" s="3"/>
      <c r="F7731" s="19"/>
      <c r="G7731" s="19"/>
      <c r="N7731" s="19"/>
      <c r="P7731" s="19"/>
      <c r="AL7731" s="19"/>
    </row>
    <row r="7732" spans="1:38" s="11" customFormat="1" x14ac:dyDescent="0.25">
      <c r="A7732" s="3"/>
      <c r="F7732" s="19"/>
      <c r="G7732" s="19"/>
      <c r="N7732" s="19"/>
      <c r="P7732" s="19"/>
      <c r="AL7732" s="19"/>
    </row>
    <row r="7733" spans="1:38" s="11" customFormat="1" x14ac:dyDescent="0.25">
      <c r="A7733" s="3"/>
      <c r="F7733" s="19"/>
      <c r="G7733" s="19"/>
      <c r="N7733" s="19"/>
      <c r="P7733" s="19"/>
      <c r="AL7733" s="19"/>
    </row>
    <row r="7734" spans="1:38" s="11" customFormat="1" x14ac:dyDescent="0.25">
      <c r="A7734" s="3"/>
      <c r="F7734" s="19"/>
      <c r="G7734" s="19"/>
      <c r="N7734" s="19"/>
      <c r="P7734" s="19"/>
      <c r="AL7734" s="19"/>
    </row>
    <row r="7735" spans="1:38" s="11" customFormat="1" x14ac:dyDescent="0.25">
      <c r="A7735" s="3"/>
      <c r="F7735" s="19"/>
      <c r="G7735" s="19"/>
      <c r="N7735" s="19"/>
      <c r="P7735" s="19"/>
      <c r="AL7735" s="19"/>
    </row>
    <row r="7736" spans="1:38" s="11" customFormat="1" x14ac:dyDescent="0.25">
      <c r="A7736" s="3"/>
      <c r="F7736" s="19"/>
      <c r="G7736" s="19"/>
      <c r="N7736" s="19"/>
      <c r="P7736" s="19"/>
      <c r="AL7736" s="19"/>
    </row>
    <row r="7737" spans="1:38" s="11" customFormat="1" x14ac:dyDescent="0.25">
      <c r="A7737" s="3"/>
      <c r="F7737" s="19"/>
      <c r="G7737" s="19"/>
      <c r="N7737" s="19"/>
      <c r="P7737" s="19"/>
      <c r="AL7737" s="19"/>
    </row>
    <row r="7738" spans="1:38" s="11" customFormat="1" x14ac:dyDescent="0.25">
      <c r="A7738" s="3"/>
      <c r="F7738" s="19"/>
      <c r="G7738" s="19"/>
      <c r="N7738" s="19"/>
      <c r="P7738" s="19"/>
      <c r="AL7738" s="19"/>
    </row>
    <row r="7739" spans="1:38" s="11" customFormat="1" x14ac:dyDescent="0.25">
      <c r="A7739" s="3"/>
      <c r="F7739" s="19"/>
      <c r="G7739" s="19"/>
      <c r="N7739" s="19"/>
      <c r="P7739" s="19"/>
      <c r="AL7739" s="19"/>
    </row>
    <row r="7740" spans="1:38" s="11" customFormat="1" x14ac:dyDescent="0.25">
      <c r="A7740" s="3"/>
      <c r="F7740" s="19"/>
      <c r="G7740" s="19"/>
      <c r="N7740" s="19"/>
      <c r="P7740" s="19"/>
      <c r="AL7740" s="19"/>
    </row>
    <row r="7741" spans="1:38" s="11" customFormat="1" x14ac:dyDescent="0.25">
      <c r="A7741" s="3"/>
      <c r="F7741" s="19"/>
      <c r="G7741" s="19"/>
      <c r="N7741" s="19"/>
      <c r="P7741" s="19"/>
      <c r="AL7741" s="19"/>
    </row>
    <row r="7742" spans="1:38" s="11" customFormat="1" x14ac:dyDescent="0.25">
      <c r="A7742" s="3"/>
      <c r="F7742" s="19"/>
      <c r="G7742" s="19"/>
      <c r="N7742" s="19"/>
      <c r="P7742" s="19"/>
      <c r="AL7742" s="19"/>
    </row>
    <row r="7743" spans="1:38" s="11" customFormat="1" x14ac:dyDescent="0.25">
      <c r="A7743" s="3"/>
      <c r="F7743" s="19"/>
      <c r="G7743" s="19"/>
      <c r="N7743" s="19"/>
      <c r="P7743" s="19"/>
      <c r="AL7743" s="19"/>
    </row>
    <row r="7744" spans="1:38" s="11" customFormat="1" x14ac:dyDescent="0.25">
      <c r="A7744" s="3"/>
      <c r="F7744" s="19"/>
      <c r="G7744" s="19"/>
      <c r="N7744" s="19"/>
      <c r="P7744" s="19"/>
      <c r="AL7744" s="19"/>
    </row>
    <row r="7745" spans="1:38" s="11" customFormat="1" x14ac:dyDescent="0.25">
      <c r="A7745" s="3"/>
      <c r="F7745" s="19"/>
      <c r="G7745" s="19"/>
      <c r="N7745" s="19"/>
      <c r="P7745" s="19"/>
      <c r="AL7745" s="19"/>
    </row>
    <row r="7746" spans="1:38" s="11" customFormat="1" x14ac:dyDescent="0.25">
      <c r="A7746" s="3"/>
      <c r="F7746" s="19"/>
      <c r="G7746" s="19"/>
      <c r="N7746" s="19"/>
      <c r="P7746" s="19"/>
      <c r="AL7746" s="19"/>
    </row>
    <row r="7747" spans="1:38" s="11" customFormat="1" x14ac:dyDescent="0.25">
      <c r="A7747" s="3"/>
      <c r="F7747" s="19"/>
      <c r="G7747" s="19"/>
      <c r="N7747" s="19"/>
      <c r="P7747" s="19"/>
      <c r="AL7747" s="19"/>
    </row>
    <row r="7748" spans="1:38" s="11" customFormat="1" x14ac:dyDescent="0.25">
      <c r="A7748" s="3"/>
      <c r="F7748" s="19"/>
      <c r="G7748" s="19"/>
      <c r="N7748" s="19"/>
      <c r="P7748" s="19"/>
      <c r="AL7748" s="19"/>
    </row>
    <row r="7749" spans="1:38" s="11" customFormat="1" x14ac:dyDescent="0.25">
      <c r="A7749" s="3"/>
      <c r="F7749" s="19"/>
      <c r="G7749" s="19"/>
      <c r="N7749" s="19"/>
      <c r="P7749" s="19"/>
      <c r="AL7749" s="19"/>
    </row>
    <row r="7750" spans="1:38" s="11" customFormat="1" x14ac:dyDescent="0.25">
      <c r="A7750" s="3"/>
      <c r="F7750" s="19"/>
      <c r="G7750" s="19"/>
      <c r="N7750" s="19"/>
      <c r="P7750" s="19"/>
      <c r="AL7750" s="19"/>
    </row>
    <row r="7751" spans="1:38" s="11" customFormat="1" x14ac:dyDescent="0.25">
      <c r="A7751" s="3"/>
      <c r="F7751" s="19"/>
      <c r="G7751" s="19"/>
      <c r="N7751" s="19"/>
      <c r="P7751" s="19"/>
      <c r="AL7751" s="19"/>
    </row>
    <row r="7752" spans="1:38" s="11" customFormat="1" x14ac:dyDescent="0.25">
      <c r="A7752" s="3"/>
      <c r="F7752" s="19"/>
      <c r="G7752" s="19"/>
      <c r="N7752" s="19"/>
      <c r="P7752" s="19"/>
      <c r="AL7752" s="19"/>
    </row>
    <row r="7753" spans="1:38" s="11" customFormat="1" x14ac:dyDescent="0.25">
      <c r="A7753" s="3"/>
      <c r="F7753" s="19"/>
      <c r="G7753" s="19"/>
      <c r="N7753" s="19"/>
      <c r="P7753" s="19"/>
      <c r="AL7753" s="19"/>
    </row>
    <row r="7754" spans="1:38" s="11" customFormat="1" x14ac:dyDescent="0.25">
      <c r="A7754" s="3"/>
      <c r="F7754" s="19"/>
      <c r="G7754" s="19"/>
      <c r="N7754" s="19"/>
      <c r="P7754" s="19"/>
      <c r="AL7754" s="19"/>
    </row>
    <row r="7755" spans="1:38" s="11" customFormat="1" x14ac:dyDescent="0.25">
      <c r="A7755" s="3"/>
      <c r="F7755" s="19"/>
      <c r="G7755" s="19"/>
      <c r="N7755" s="19"/>
      <c r="P7755" s="19"/>
      <c r="AL7755" s="19"/>
    </row>
    <row r="7756" spans="1:38" s="11" customFormat="1" x14ac:dyDescent="0.25">
      <c r="A7756" s="3"/>
      <c r="F7756" s="19"/>
      <c r="G7756" s="19"/>
      <c r="N7756" s="19"/>
      <c r="P7756" s="19"/>
      <c r="AL7756" s="19"/>
    </row>
    <row r="7757" spans="1:38" s="11" customFormat="1" x14ac:dyDescent="0.25">
      <c r="A7757" s="3"/>
      <c r="F7757" s="19"/>
      <c r="G7757" s="19"/>
      <c r="N7757" s="19"/>
      <c r="P7757" s="19"/>
      <c r="AL7757" s="19"/>
    </row>
    <row r="7758" spans="1:38" s="11" customFormat="1" x14ac:dyDescent="0.25">
      <c r="A7758" s="3"/>
      <c r="F7758" s="19"/>
      <c r="G7758" s="19"/>
      <c r="N7758" s="19"/>
      <c r="P7758" s="19"/>
      <c r="AL7758" s="19"/>
    </row>
    <row r="7759" spans="1:38" s="11" customFormat="1" x14ac:dyDescent="0.25">
      <c r="A7759" s="3"/>
      <c r="F7759" s="19"/>
      <c r="G7759" s="19"/>
      <c r="N7759" s="19"/>
      <c r="P7759" s="19"/>
      <c r="AL7759" s="19"/>
    </row>
    <row r="7760" spans="1:38" s="11" customFormat="1" x14ac:dyDescent="0.25">
      <c r="A7760" s="3"/>
      <c r="F7760" s="19"/>
      <c r="G7760" s="19"/>
      <c r="N7760" s="19"/>
      <c r="P7760" s="19"/>
      <c r="AL7760" s="19"/>
    </row>
    <row r="7761" spans="1:38" s="11" customFormat="1" x14ac:dyDescent="0.25">
      <c r="A7761" s="3"/>
      <c r="F7761" s="19"/>
      <c r="G7761" s="19"/>
      <c r="N7761" s="19"/>
      <c r="P7761" s="19"/>
      <c r="AL7761" s="19"/>
    </row>
    <row r="7762" spans="1:38" s="11" customFormat="1" x14ac:dyDescent="0.25">
      <c r="A7762" s="3"/>
      <c r="F7762" s="19"/>
      <c r="G7762" s="19"/>
      <c r="N7762" s="19"/>
      <c r="P7762" s="19"/>
      <c r="AL7762" s="19"/>
    </row>
    <row r="7763" spans="1:38" s="11" customFormat="1" x14ac:dyDescent="0.25">
      <c r="A7763" s="3"/>
      <c r="F7763" s="19"/>
      <c r="G7763" s="19"/>
      <c r="N7763" s="19"/>
      <c r="P7763" s="19"/>
      <c r="AL7763" s="19"/>
    </row>
    <row r="7764" spans="1:38" s="11" customFormat="1" x14ac:dyDescent="0.25">
      <c r="A7764" s="3"/>
      <c r="F7764" s="19"/>
      <c r="G7764" s="19"/>
      <c r="N7764" s="19"/>
      <c r="P7764" s="19"/>
      <c r="AL7764" s="19"/>
    </row>
    <row r="7765" spans="1:38" s="11" customFormat="1" x14ac:dyDescent="0.25">
      <c r="A7765" s="3"/>
      <c r="F7765" s="19"/>
      <c r="G7765" s="19"/>
      <c r="N7765" s="19"/>
      <c r="P7765" s="19"/>
      <c r="AL7765" s="19"/>
    </row>
    <row r="7766" spans="1:38" s="11" customFormat="1" x14ac:dyDescent="0.25">
      <c r="A7766" s="3"/>
      <c r="F7766" s="19"/>
      <c r="G7766" s="19"/>
      <c r="N7766" s="19"/>
      <c r="P7766" s="19"/>
      <c r="AL7766" s="19"/>
    </row>
    <row r="7767" spans="1:38" s="11" customFormat="1" x14ac:dyDescent="0.25">
      <c r="A7767" s="3"/>
      <c r="F7767" s="19"/>
      <c r="G7767" s="19"/>
      <c r="N7767" s="19"/>
      <c r="P7767" s="19"/>
      <c r="AL7767" s="19"/>
    </row>
    <row r="7768" spans="1:38" s="11" customFormat="1" x14ac:dyDescent="0.25">
      <c r="A7768" s="3"/>
      <c r="F7768" s="19"/>
      <c r="G7768" s="19"/>
      <c r="N7768" s="19"/>
      <c r="P7768" s="19"/>
      <c r="AL7768" s="19"/>
    </row>
    <row r="7769" spans="1:38" s="11" customFormat="1" x14ac:dyDescent="0.25">
      <c r="A7769" s="3"/>
      <c r="F7769" s="19"/>
      <c r="G7769" s="19"/>
      <c r="N7769" s="19"/>
      <c r="P7769" s="19"/>
      <c r="AL7769" s="19"/>
    </row>
    <row r="7770" spans="1:38" s="11" customFormat="1" x14ac:dyDescent="0.25">
      <c r="A7770" s="3"/>
      <c r="F7770" s="19"/>
      <c r="G7770" s="19"/>
      <c r="N7770" s="19"/>
      <c r="P7770" s="19"/>
      <c r="AL7770" s="19"/>
    </row>
    <row r="7771" spans="1:38" s="11" customFormat="1" x14ac:dyDescent="0.25">
      <c r="A7771" s="3"/>
      <c r="F7771" s="19"/>
      <c r="G7771" s="19"/>
      <c r="N7771" s="19"/>
      <c r="P7771" s="19"/>
      <c r="AL7771" s="19"/>
    </row>
    <row r="7772" spans="1:38" s="11" customFormat="1" x14ac:dyDescent="0.25">
      <c r="A7772" s="3"/>
      <c r="F7772" s="19"/>
      <c r="G7772" s="19"/>
      <c r="N7772" s="19"/>
      <c r="P7772" s="19"/>
      <c r="AL7772" s="19"/>
    </row>
    <row r="7773" spans="1:38" s="11" customFormat="1" x14ac:dyDescent="0.25">
      <c r="A7773" s="3"/>
      <c r="F7773" s="19"/>
      <c r="G7773" s="19"/>
      <c r="N7773" s="19"/>
      <c r="P7773" s="19"/>
      <c r="AL7773" s="19"/>
    </row>
    <row r="7774" spans="1:38" s="11" customFormat="1" x14ac:dyDescent="0.25">
      <c r="A7774" s="3"/>
      <c r="F7774" s="19"/>
      <c r="G7774" s="19"/>
      <c r="N7774" s="19"/>
      <c r="P7774" s="19"/>
      <c r="AL7774" s="19"/>
    </row>
    <row r="7775" spans="1:38" s="11" customFormat="1" x14ac:dyDescent="0.25">
      <c r="A7775" s="3"/>
      <c r="F7775" s="19"/>
      <c r="G7775" s="19"/>
      <c r="N7775" s="19"/>
      <c r="P7775" s="19"/>
      <c r="AL7775" s="19"/>
    </row>
    <row r="7776" spans="1:38" s="11" customFormat="1" x14ac:dyDescent="0.25">
      <c r="A7776" s="3"/>
      <c r="F7776" s="19"/>
      <c r="G7776" s="19"/>
      <c r="N7776" s="19"/>
      <c r="P7776" s="19"/>
      <c r="AL7776" s="19"/>
    </row>
    <row r="7777" spans="1:38" s="11" customFormat="1" x14ac:dyDescent="0.25">
      <c r="A7777" s="3"/>
      <c r="F7777" s="19"/>
      <c r="G7777" s="19"/>
      <c r="N7777" s="19"/>
      <c r="P7777" s="19"/>
      <c r="AL7777" s="19"/>
    </row>
    <row r="7778" spans="1:38" s="11" customFormat="1" x14ac:dyDescent="0.25">
      <c r="A7778" s="3"/>
      <c r="F7778" s="19"/>
      <c r="G7778" s="19"/>
      <c r="N7778" s="19"/>
      <c r="P7778" s="19"/>
      <c r="AL7778" s="19"/>
    </row>
    <row r="7779" spans="1:38" s="11" customFormat="1" x14ac:dyDescent="0.25">
      <c r="A7779" s="3"/>
      <c r="F7779" s="19"/>
      <c r="G7779" s="19"/>
      <c r="N7779" s="19"/>
      <c r="P7779" s="19"/>
      <c r="AL7779" s="19"/>
    </row>
    <row r="7780" spans="1:38" s="11" customFormat="1" x14ac:dyDescent="0.25">
      <c r="A7780" s="3"/>
      <c r="F7780" s="19"/>
      <c r="G7780" s="19"/>
      <c r="N7780" s="19"/>
      <c r="P7780" s="19"/>
      <c r="AL7780" s="19"/>
    </row>
    <row r="7781" spans="1:38" s="11" customFormat="1" x14ac:dyDescent="0.25">
      <c r="A7781" s="3"/>
      <c r="F7781" s="19"/>
      <c r="G7781" s="19"/>
      <c r="N7781" s="19"/>
      <c r="P7781" s="19"/>
      <c r="AL7781" s="19"/>
    </row>
    <row r="7782" spans="1:38" s="11" customFormat="1" x14ac:dyDescent="0.25">
      <c r="A7782" s="3"/>
      <c r="F7782" s="19"/>
      <c r="G7782" s="19"/>
      <c r="N7782" s="19"/>
      <c r="P7782" s="19"/>
      <c r="AL7782" s="19"/>
    </row>
    <row r="7783" spans="1:38" s="11" customFormat="1" x14ac:dyDescent="0.25">
      <c r="A7783" s="3"/>
      <c r="F7783" s="19"/>
      <c r="G7783" s="19"/>
      <c r="N7783" s="19"/>
      <c r="P7783" s="19"/>
      <c r="AL7783" s="19"/>
    </row>
    <row r="7784" spans="1:38" s="11" customFormat="1" x14ac:dyDescent="0.25">
      <c r="A7784" s="3"/>
      <c r="F7784" s="19"/>
      <c r="G7784" s="19"/>
      <c r="N7784" s="19"/>
      <c r="P7784" s="19"/>
      <c r="AL7784" s="19"/>
    </row>
    <row r="7785" spans="1:38" s="11" customFormat="1" x14ac:dyDescent="0.25">
      <c r="A7785" s="3"/>
      <c r="F7785" s="19"/>
      <c r="G7785" s="19"/>
      <c r="N7785" s="19"/>
      <c r="P7785" s="19"/>
      <c r="AL7785" s="19"/>
    </row>
    <row r="7786" spans="1:38" s="11" customFormat="1" x14ac:dyDescent="0.25">
      <c r="A7786" s="3"/>
      <c r="F7786" s="19"/>
      <c r="G7786" s="19"/>
      <c r="N7786" s="19"/>
      <c r="P7786" s="19"/>
      <c r="AL7786" s="19"/>
    </row>
    <row r="7787" spans="1:38" s="11" customFormat="1" x14ac:dyDescent="0.25">
      <c r="A7787" s="3"/>
      <c r="F7787" s="19"/>
      <c r="G7787" s="19"/>
      <c r="N7787" s="19"/>
      <c r="P7787" s="19"/>
      <c r="AL7787" s="19"/>
    </row>
    <row r="7788" spans="1:38" s="11" customFormat="1" x14ac:dyDescent="0.25">
      <c r="A7788" s="3"/>
      <c r="F7788" s="19"/>
      <c r="G7788" s="19"/>
      <c r="N7788" s="19"/>
      <c r="P7788" s="19"/>
      <c r="AL7788" s="19"/>
    </row>
    <row r="7789" spans="1:38" s="11" customFormat="1" x14ac:dyDescent="0.25">
      <c r="A7789" s="3"/>
      <c r="F7789" s="19"/>
      <c r="G7789" s="19"/>
      <c r="N7789" s="19"/>
      <c r="P7789" s="19"/>
      <c r="AL7789" s="19"/>
    </row>
    <row r="7790" spans="1:38" s="11" customFormat="1" x14ac:dyDescent="0.25">
      <c r="A7790" s="3"/>
      <c r="F7790" s="19"/>
      <c r="G7790" s="19"/>
      <c r="N7790" s="19"/>
      <c r="P7790" s="19"/>
      <c r="AL7790" s="19"/>
    </row>
    <row r="7791" spans="1:38" s="11" customFormat="1" x14ac:dyDescent="0.25">
      <c r="A7791" s="3"/>
      <c r="F7791" s="19"/>
      <c r="G7791" s="19"/>
      <c r="N7791" s="19"/>
      <c r="P7791" s="19"/>
      <c r="AL7791" s="19"/>
    </row>
    <row r="7792" spans="1:38" s="11" customFormat="1" x14ac:dyDescent="0.25">
      <c r="A7792" s="3"/>
      <c r="F7792" s="19"/>
      <c r="G7792" s="19"/>
      <c r="N7792" s="19"/>
      <c r="P7792" s="19"/>
      <c r="AL7792" s="19"/>
    </row>
    <row r="7793" spans="1:38" s="11" customFormat="1" x14ac:dyDescent="0.25">
      <c r="A7793" s="3"/>
      <c r="F7793" s="19"/>
      <c r="G7793" s="19"/>
      <c r="N7793" s="19"/>
      <c r="P7793" s="19"/>
      <c r="AL7793" s="19"/>
    </row>
    <row r="7794" spans="1:38" s="11" customFormat="1" x14ac:dyDescent="0.25">
      <c r="A7794" s="3"/>
      <c r="F7794" s="19"/>
      <c r="G7794" s="19"/>
      <c r="N7794" s="19"/>
      <c r="P7794" s="19"/>
      <c r="AL7794" s="19"/>
    </row>
    <row r="7795" spans="1:38" s="11" customFormat="1" x14ac:dyDescent="0.25">
      <c r="A7795" s="3"/>
      <c r="F7795" s="19"/>
      <c r="G7795" s="19"/>
      <c r="N7795" s="19"/>
      <c r="P7795" s="19"/>
      <c r="AL7795" s="19"/>
    </row>
    <row r="7796" spans="1:38" s="11" customFormat="1" x14ac:dyDescent="0.25">
      <c r="A7796" s="3"/>
      <c r="F7796" s="19"/>
      <c r="G7796" s="19"/>
      <c r="N7796" s="19"/>
      <c r="P7796" s="19"/>
      <c r="AL7796" s="19"/>
    </row>
    <row r="7797" spans="1:38" s="11" customFormat="1" x14ac:dyDescent="0.25">
      <c r="A7797" s="3"/>
      <c r="F7797" s="19"/>
      <c r="G7797" s="19"/>
      <c r="N7797" s="19"/>
      <c r="P7797" s="19"/>
      <c r="AL7797" s="19"/>
    </row>
    <row r="7798" spans="1:38" s="11" customFormat="1" x14ac:dyDescent="0.25">
      <c r="A7798" s="3"/>
      <c r="F7798" s="19"/>
      <c r="G7798" s="19"/>
      <c r="N7798" s="19"/>
      <c r="P7798" s="19"/>
      <c r="AL7798" s="19"/>
    </row>
    <row r="7799" spans="1:38" s="11" customFormat="1" x14ac:dyDescent="0.25">
      <c r="A7799" s="3"/>
      <c r="F7799" s="19"/>
      <c r="G7799" s="19"/>
      <c r="N7799" s="19"/>
      <c r="P7799" s="19"/>
      <c r="AL7799" s="19"/>
    </row>
    <row r="7800" spans="1:38" s="11" customFormat="1" x14ac:dyDescent="0.25">
      <c r="A7800" s="3"/>
      <c r="F7800" s="19"/>
      <c r="G7800" s="19"/>
      <c r="N7800" s="19"/>
      <c r="P7800" s="19"/>
      <c r="AL7800" s="19"/>
    </row>
    <row r="7801" spans="1:38" s="11" customFormat="1" x14ac:dyDescent="0.25">
      <c r="A7801" s="3"/>
      <c r="F7801" s="19"/>
      <c r="G7801" s="19"/>
      <c r="N7801" s="19"/>
      <c r="P7801" s="19"/>
      <c r="AL7801" s="19"/>
    </row>
    <row r="7802" spans="1:38" s="11" customFormat="1" x14ac:dyDescent="0.25">
      <c r="A7802" s="3"/>
      <c r="F7802" s="19"/>
      <c r="G7802" s="19"/>
      <c r="N7802" s="19"/>
      <c r="P7802" s="19"/>
      <c r="AL7802" s="19"/>
    </row>
    <row r="7803" spans="1:38" s="11" customFormat="1" x14ac:dyDescent="0.25">
      <c r="A7803" s="3"/>
      <c r="F7803" s="19"/>
      <c r="G7803" s="19"/>
      <c r="N7803" s="19"/>
      <c r="P7803" s="19"/>
      <c r="AL7803" s="19"/>
    </row>
    <row r="7804" spans="1:38" s="11" customFormat="1" x14ac:dyDescent="0.25">
      <c r="A7804" s="3"/>
      <c r="F7804" s="19"/>
      <c r="G7804" s="19"/>
      <c r="N7804" s="19"/>
      <c r="P7804" s="19"/>
      <c r="AL7804" s="19"/>
    </row>
    <row r="7805" spans="1:38" s="11" customFormat="1" x14ac:dyDescent="0.25">
      <c r="A7805" s="3"/>
      <c r="F7805" s="19"/>
      <c r="G7805" s="19"/>
      <c r="N7805" s="19"/>
      <c r="P7805" s="19"/>
      <c r="AL7805" s="19"/>
    </row>
    <row r="7806" spans="1:38" s="11" customFormat="1" x14ac:dyDescent="0.25">
      <c r="A7806" s="3"/>
      <c r="F7806" s="19"/>
      <c r="G7806" s="19"/>
      <c r="N7806" s="19"/>
      <c r="P7806" s="19"/>
      <c r="AL7806" s="19"/>
    </row>
    <row r="7807" spans="1:38" s="11" customFormat="1" x14ac:dyDescent="0.25">
      <c r="A7807" s="3"/>
      <c r="F7807" s="19"/>
      <c r="G7807" s="19"/>
      <c r="N7807" s="19"/>
      <c r="P7807" s="19"/>
      <c r="AL7807" s="19"/>
    </row>
    <row r="7808" spans="1:38" s="11" customFormat="1" x14ac:dyDescent="0.25">
      <c r="A7808" s="3"/>
      <c r="F7808" s="19"/>
      <c r="G7808" s="19"/>
      <c r="N7808" s="19"/>
      <c r="P7808" s="19"/>
      <c r="AL7808" s="19"/>
    </row>
    <row r="7809" spans="1:38" s="11" customFormat="1" x14ac:dyDescent="0.25">
      <c r="A7809" s="3"/>
      <c r="F7809" s="19"/>
      <c r="G7809" s="19"/>
      <c r="N7809" s="19"/>
      <c r="P7809" s="19"/>
      <c r="AL7809" s="19"/>
    </row>
    <row r="7810" spans="1:38" s="11" customFormat="1" x14ac:dyDescent="0.25">
      <c r="A7810" s="3"/>
      <c r="F7810" s="19"/>
      <c r="G7810" s="19"/>
      <c r="N7810" s="19"/>
      <c r="P7810" s="19"/>
      <c r="AL7810" s="19"/>
    </row>
    <row r="7811" spans="1:38" s="11" customFormat="1" x14ac:dyDescent="0.25">
      <c r="A7811" s="3"/>
      <c r="F7811" s="19"/>
      <c r="G7811" s="19"/>
      <c r="N7811" s="19"/>
      <c r="P7811" s="19"/>
      <c r="AL7811" s="19"/>
    </row>
    <row r="7812" spans="1:38" s="11" customFormat="1" x14ac:dyDescent="0.25">
      <c r="A7812" s="3"/>
      <c r="F7812" s="19"/>
      <c r="G7812" s="19"/>
      <c r="N7812" s="19"/>
      <c r="P7812" s="19"/>
      <c r="AL7812" s="19"/>
    </row>
    <row r="7813" spans="1:38" s="11" customFormat="1" x14ac:dyDescent="0.25">
      <c r="A7813" s="3"/>
      <c r="F7813" s="19"/>
      <c r="G7813" s="19"/>
      <c r="N7813" s="19"/>
      <c r="P7813" s="19"/>
      <c r="AL7813" s="19"/>
    </row>
    <row r="7814" spans="1:38" s="11" customFormat="1" x14ac:dyDescent="0.25">
      <c r="A7814" s="3"/>
      <c r="F7814" s="19"/>
      <c r="G7814" s="19"/>
      <c r="N7814" s="19"/>
      <c r="P7814" s="19"/>
      <c r="AL7814" s="19"/>
    </row>
    <row r="7815" spans="1:38" s="11" customFormat="1" x14ac:dyDescent="0.25">
      <c r="A7815" s="3"/>
      <c r="F7815" s="19"/>
      <c r="G7815" s="19"/>
      <c r="N7815" s="19"/>
      <c r="P7815" s="19"/>
      <c r="AL7815" s="19"/>
    </row>
    <row r="7816" spans="1:38" s="11" customFormat="1" x14ac:dyDescent="0.25">
      <c r="A7816" s="3"/>
      <c r="F7816" s="19"/>
      <c r="G7816" s="19"/>
      <c r="N7816" s="19"/>
      <c r="P7816" s="19"/>
      <c r="AL7816" s="19"/>
    </row>
    <row r="7817" spans="1:38" s="11" customFormat="1" x14ac:dyDescent="0.25">
      <c r="A7817" s="3"/>
      <c r="F7817" s="19"/>
      <c r="G7817" s="19"/>
      <c r="N7817" s="19"/>
      <c r="P7817" s="19"/>
      <c r="AL7817" s="19"/>
    </row>
    <row r="7818" spans="1:38" s="11" customFormat="1" x14ac:dyDescent="0.25">
      <c r="A7818" s="3"/>
      <c r="F7818" s="19"/>
      <c r="G7818" s="19"/>
      <c r="N7818" s="19"/>
      <c r="P7818" s="19"/>
      <c r="AL7818" s="19"/>
    </row>
    <row r="7819" spans="1:38" s="11" customFormat="1" x14ac:dyDescent="0.25">
      <c r="A7819" s="3"/>
      <c r="F7819" s="19"/>
      <c r="G7819" s="19"/>
      <c r="N7819" s="19"/>
      <c r="P7819" s="19"/>
      <c r="AL7819" s="19"/>
    </row>
    <row r="7820" spans="1:38" s="11" customFormat="1" x14ac:dyDescent="0.25">
      <c r="A7820" s="3"/>
      <c r="F7820" s="19"/>
      <c r="G7820" s="19"/>
      <c r="N7820" s="19"/>
      <c r="P7820" s="19"/>
      <c r="AL7820" s="19"/>
    </row>
    <row r="7821" spans="1:38" s="11" customFormat="1" x14ac:dyDescent="0.25">
      <c r="A7821" s="3"/>
      <c r="F7821" s="19"/>
      <c r="G7821" s="19"/>
      <c r="N7821" s="19"/>
      <c r="P7821" s="19"/>
      <c r="AL7821" s="19"/>
    </row>
    <row r="7822" spans="1:38" s="11" customFormat="1" x14ac:dyDescent="0.25">
      <c r="A7822" s="3"/>
      <c r="F7822" s="19"/>
      <c r="G7822" s="19"/>
      <c r="N7822" s="19"/>
      <c r="P7822" s="19"/>
      <c r="AL7822" s="19"/>
    </row>
    <row r="7823" spans="1:38" s="11" customFormat="1" x14ac:dyDescent="0.25">
      <c r="A7823" s="3"/>
      <c r="F7823" s="19"/>
      <c r="G7823" s="19"/>
      <c r="N7823" s="19"/>
      <c r="P7823" s="19"/>
      <c r="AL7823" s="19"/>
    </row>
    <row r="7824" spans="1:38" s="11" customFormat="1" x14ac:dyDescent="0.25">
      <c r="A7824" s="3"/>
      <c r="F7824" s="19"/>
      <c r="G7824" s="19"/>
      <c r="N7824" s="19"/>
      <c r="P7824" s="19"/>
      <c r="AL7824" s="19"/>
    </row>
    <row r="7825" spans="1:38" s="11" customFormat="1" x14ac:dyDescent="0.25">
      <c r="A7825" s="3"/>
      <c r="F7825" s="19"/>
      <c r="G7825" s="19"/>
      <c r="N7825" s="19"/>
      <c r="P7825" s="19"/>
      <c r="AL7825" s="19"/>
    </row>
    <row r="7826" spans="1:38" s="11" customFormat="1" x14ac:dyDescent="0.25">
      <c r="A7826" s="3"/>
      <c r="F7826" s="19"/>
      <c r="G7826" s="19"/>
      <c r="N7826" s="19"/>
      <c r="P7826" s="19"/>
      <c r="AL7826" s="19"/>
    </row>
    <row r="7827" spans="1:38" s="11" customFormat="1" x14ac:dyDescent="0.25">
      <c r="A7827" s="3"/>
      <c r="F7827" s="19"/>
      <c r="G7827" s="19"/>
      <c r="N7827" s="19"/>
      <c r="P7827" s="19"/>
      <c r="AL7827" s="19"/>
    </row>
    <row r="7828" spans="1:38" s="11" customFormat="1" x14ac:dyDescent="0.25">
      <c r="A7828" s="3"/>
      <c r="F7828" s="19"/>
      <c r="G7828" s="19"/>
      <c r="N7828" s="19"/>
      <c r="P7828" s="19"/>
      <c r="AL7828" s="19"/>
    </row>
    <row r="7829" spans="1:38" s="11" customFormat="1" x14ac:dyDescent="0.25">
      <c r="A7829" s="3"/>
      <c r="F7829" s="19"/>
      <c r="G7829" s="19"/>
      <c r="N7829" s="19"/>
      <c r="P7829" s="19"/>
      <c r="AL7829" s="19"/>
    </row>
    <row r="7830" spans="1:38" s="11" customFormat="1" x14ac:dyDescent="0.25">
      <c r="A7830" s="3"/>
      <c r="F7830" s="19"/>
      <c r="G7830" s="19"/>
      <c r="N7830" s="19"/>
      <c r="P7830" s="19"/>
      <c r="AL7830" s="19"/>
    </row>
    <row r="7831" spans="1:38" s="11" customFormat="1" x14ac:dyDescent="0.25">
      <c r="A7831" s="3"/>
      <c r="F7831" s="19"/>
      <c r="G7831" s="19"/>
      <c r="N7831" s="19"/>
      <c r="P7831" s="19"/>
      <c r="AL7831" s="19"/>
    </row>
    <row r="7832" spans="1:38" s="11" customFormat="1" x14ac:dyDescent="0.25">
      <c r="A7832" s="3"/>
      <c r="F7832" s="19"/>
      <c r="G7832" s="19"/>
      <c r="N7832" s="19"/>
      <c r="P7832" s="19"/>
      <c r="AL7832" s="19"/>
    </row>
    <row r="7833" spans="1:38" s="11" customFormat="1" x14ac:dyDescent="0.25">
      <c r="A7833" s="3"/>
      <c r="F7833" s="19"/>
      <c r="G7833" s="19"/>
      <c r="N7833" s="19"/>
      <c r="P7833" s="19"/>
      <c r="AL7833" s="19"/>
    </row>
    <row r="7834" spans="1:38" s="11" customFormat="1" x14ac:dyDescent="0.25">
      <c r="A7834" s="3"/>
      <c r="F7834" s="19"/>
      <c r="G7834" s="19"/>
      <c r="N7834" s="19"/>
      <c r="P7834" s="19"/>
      <c r="AL7834" s="19"/>
    </row>
    <row r="7835" spans="1:38" s="11" customFormat="1" x14ac:dyDescent="0.25">
      <c r="A7835" s="3"/>
      <c r="F7835" s="19"/>
      <c r="G7835" s="19"/>
      <c r="N7835" s="19"/>
      <c r="P7835" s="19"/>
      <c r="AL7835" s="19"/>
    </row>
    <row r="7836" spans="1:38" s="11" customFormat="1" x14ac:dyDescent="0.25">
      <c r="A7836" s="3"/>
      <c r="F7836" s="19"/>
      <c r="G7836" s="19"/>
      <c r="N7836" s="19"/>
      <c r="P7836" s="19"/>
      <c r="AL7836" s="19"/>
    </row>
    <row r="7837" spans="1:38" s="11" customFormat="1" x14ac:dyDescent="0.25">
      <c r="A7837" s="3"/>
      <c r="F7837" s="19"/>
      <c r="G7837" s="19"/>
      <c r="N7837" s="19"/>
      <c r="P7837" s="19"/>
      <c r="AL7837" s="19"/>
    </row>
    <row r="7838" spans="1:38" s="11" customFormat="1" x14ac:dyDescent="0.25">
      <c r="A7838" s="3"/>
      <c r="F7838" s="19"/>
      <c r="G7838" s="19"/>
      <c r="N7838" s="19"/>
      <c r="P7838" s="19"/>
      <c r="AL7838" s="19"/>
    </row>
    <row r="7839" spans="1:38" s="11" customFormat="1" x14ac:dyDescent="0.25">
      <c r="A7839" s="3"/>
      <c r="F7839" s="19"/>
      <c r="G7839" s="19"/>
      <c r="N7839" s="19"/>
      <c r="P7839" s="19"/>
      <c r="AL7839" s="19"/>
    </row>
    <row r="7840" spans="1:38" s="11" customFormat="1" x14ac:dyDescent="0.25">
      <c r="A7840" s="3"/>
      <c r="F7840" s="19"/>
      <c r="G7840" s="19"/>
      <c r="N7840" s="19"/>
      <c r="P7840" s="19"/>
      <c r="AL7840" s="19"/>
    </row>
    <row r="7841" spans="1:38" s="11" customFormat="1" x14ac:dyDescent="0.25">
      <c r="A7841" s="3"/>
      <c r="F7841" s="19"/>
      <c r="G7841" s="19"/>
      <c r="N7841" s="19"/>
      <c r="P7841" s="19"/>
      <c r="AL7841" s="19"/>
    </row>
    <row r="7842" spans="1:38" s="11" customFormat="1" x14ac:dyDescent="0.25">
      <c r="A7842" s="3"/>
      <c r="F7842" s="19"/>
      <c r="G7842" s="19"/>
      <c r="N7842" s="19"/>
      <c r="P7842" s="19"/>
      <c r="AL7842" s="19"/>
    </row>
    <row r="7843" spans="1:38" s="11" customFormat="1" x14ac:dyDescent="0.25">
      <c r="A7843" s="3"/>
      <c r="F7843" s="19"/>
      <c r="G7843" s="19"/>
      <c r="N7843" s="19"/>
      <c r="P7843" s="19"/>
      <c r="AL7843" s="19"/>
    </row>
    <row r="7844" spans="1:38" s="11" customFormat="1" x14ac:dyDescent="0.25">
      <c r="A7844" s="3"/>
      <c r="F7844" s="19"/>
      <c r="G7844" s="19"/>
      <c r="N7844" s="19"/>
      <c r="P7844" s="19"/>
      <c r="AL7844" s="19"/>
    </row>
    <row r="7845" spans="1:38" s="11" customFormat="1" x14ac:dyDescent="0.25">
      <c r="A7845" s="3"/>
      <c r="F7845" s="19"/>
      <c r="G7845" s="19"/>
      <c r="N7845" s="19"/>
      <c r="P7845" s="19"/>
      <c r="AL7845" s="19"/>
    </row>
    <row r="7846" spans="1:38" s="11" customFormat="1" x14ac:dyDescent="0.25">
      <c r="A7846" s="3"/>
      <c r="F7846" s="19"/>
      <c r="G7846" s="19"/>
      <c r="N7846" s="19"/>
      <c r="P7846" s="19"/>
      <c r="AL7846" s="19"/>
    </row>
    <row r="7847" spans="1:38" s="11" customFormat="1" x14ac:dyDescent="0.25">
      <c r="A7847" s="3"/>
      <c r="F7847" s="19"/>
      <c r="G7847" s="19"/>
      <c r="N7847" s="19"/>
      <c r="P7847" s="19"/>
      <c r="AL7847" s="19"/>
    </row>
    <row r="7848" spans="1:38" s="11" customFormat="1" x14ac:dyDescent="0.25">
      <c r="A7848" s="3"/>
      <c r="F7848" s="19"/>
      <c r="G7848" s="19"/>
      <c r="N7848" s="19"/>
      <c r="P7848" s="19"/>
      <c r="AL7848" s="19"/>
    </row>
    <row r="7849" spans="1:38" s="11" customFormat="1" x14ac:dyDescent="0.25">
      <c r="A7849" s="3"/>
      <c r="F7849" s="19"/>
      <c r="G7849" s="19"/>
      <c r="N7849" s="19"/>
      <c r="P7849" s="19"/>
      <c r="AL7849" s="19"/>
    </row>
    <row r="7850" spans="1:38" s="11" customFormat="1" x14ac:dyDescent="0.25">
      <c r="A7850" s="3"/>
      <c r="F7850" s="19"/>
      <c r="G7850" s="19"/>
      <c r="N7850" s="19"/>
      <c r="P7850" s="19"/>
      <c r="AL7850" s="19"/>
    </row>
    <row r="7851" spans="1:38" s="11" customFormat="1" x14ac:dyDescent="0.25">
      <c r="A7851" s="3"/>
      <c r="F7851" s="19"/>
      <c r="G7851" s="19"/>
      <c r="N7851" s="19"/>
      <c r="P7851" s="19"/>
      <c r="AL7851" s="19"/>
    </row>
    <row r="7852" spans="1:38" s="11" customFormat="1" x14ac:dyDescent="0.25">
      <c r="A7852" s="3"/>
      <c r="F7852" s="19"/>
      <c r="G7852" s="19"/>
      <c r="N7852" s="19"/>
      <c r="P7852" s="19"/>
      <c r="AL7852" s="19"/>
    </row>
    <row r="7853" spans="1:38" s="11" customFormat="1" x14ac:dyDescent="0.25">
      <c r="A7853" s="3"/>
      <c r="F7853" s="19"/>
      <c r="G7853" s="19"/>
      <c r="N7853" s="19"/>
      <c r="P7853" s="19"/>
      <c r="AL7853" s="19"/>
    </row>
    <row r="7854" spans="1:38" s="11" customFormat="1" x14ac:dyDescent="0.25">
      <c r="A7854" s="3"/>
      <c r="F7854" s="19"/>
      <c r="G7854" s="19"/>
      <c r="N7854" s="19"/>
      <c r="P7854" s="19"/>
      <c r="AL7854" s="19"/>
    </row>
    <row r="7855" spans="1:38" s="11" customFormat="1" x14ac:dyDescent="0.25">
      <c r="A7855" s="3"/>
      <c r="F7855" s="19"/>
      <c r="G7855" s="19"/>
      <c r="N7855" s="19"/>
      <c r="P7855" s="19"/>
      <c r="AL7855" s="19"/>
    </row>
    <row r="7856" spans="1:38" s="11" customFormat="1" x14ac:dyDescent="0.25">
      <c r="A7856" s="3"/>
      <c r="F7856" s="19"/>
      <c r="G7856" s="19"/>
      <c r="N7856" s="19"/>
      <c r="P7856" s="19"/>
      <c r="AL7856" s="19"/>
    </row>
    <row r="7857" spans="1:38" s="11" customFormat="1" x14ac:dyDescent="0.25">
      <c r="A7857" s="3"/>
      <c r="F7857" s="19"/>
      <c r="G7857" s="19"/>
      <c r="N7857" s="19"/>
      <c r="P7857" s="19"/>
      <c r="AL7857" s="19"/>
    </row>
    <row r="7858" spans="1:38" s="11" customFormat="1" x14ac:dyDescent="0.25">
      <c r="A7858" s="3"/>
      <c r="F7858" s="19"/>
      <c r="G7858" s="19"/>
      <c r="N7858" s="19"/>
      <c r="P7858" s="19"/>
      <c r="AL7858" s="19"/>
    </row>
    <row r="7859" spans="1:38" s="11" customFormat="1" x14ac:dyDescent="0.25">
      <c r="A7859" s="3"/>
      <c r="F7859" s="19"/>
      <c r="G7859" s="19"/>
      <c r="N7859" s="19"/>
      <c r="P7859" s="19"/>
      <c r="AL7859" s="19"/>
    </row>
    <row r="7860" spans="1:38" s="11" customFormat="1" x14ac:dyDescent="0.25">
      <c r="A7860" s="3"/>
      <c r="F7860" s="19"/>
      <c r="G7860" s="19"/>
      <c r="N7860" s="19"/>
      <c r="P7860" s="19"/>
      <c r="AL7860" s="19"/>
    </row>
    <row r="7861" spans="1:38" s="11" customFormat="1" x14ac:dyDescent="0.25">
      <c r="A7861" s="3"/>
      <c r="F7861" s="19"/>
      <c r="G7861" s="19"/>
      <c r="N7861" s="19"/>
      <c r="P7861" s="19"/>
      <c r="AL7861" s="19"/>
    </row>
    <row r="7862" spans="1:38" s="11" customFormat="1" x14ac:dyDescent="0.25">
      <c r="A7862" s="3"/>
      <c r="F7862" s="19"/>
      <c r="G7862" s="19"/>
      <c r="N7862" s="19"/>
      <c r="P7862" s="19"/>
      <c r="AL7862" s="19"/>
    </row>
    <row r="7863" spans="1:38" s="11" customFormat="1" x14ac:dyDescent="0.25">
      <c r="A7863" s="3"/>
      <c r="F7863" s="19"/>
      <c r="G7863" s="19"/>
      <c r="N7863" s="19"/>
      <c r="P7863" s="19"/>
      <c r="AL7863" s="19"/>
    </row>
    <row r="7864" spans="1:38" s="11" customFormat="1" x14ac:dyDescent="0.25">
      <c r="A7864" s="3"/>
      <c r="F7864" s="19"/>
      <c r="G7864" s="19"/>
      <c r="N7864" s="19"/>
      <c r="P7864" s="19"/>
      <c r="AL7864" s="19"/>
    </row>
    <row r="7865" spans="1:38" s="11" customFormat="1" x14ac:dyDescent="0.25">
      <c r="A7865" s="3"/>
      <c r="F7865" s="19"/>
      <c r="G7865" s="19"/>
      <c r="N7865" s="19"/>
      <c r="P7865" s="19"/>
      <c r="AL7865" s="19"/>
    </row>
    <row r="7866" spans="1:38" s="11" customFormat="1" x14ac:dyDescent="0.25">
      <c r="A7866" s="3"/>
      <c r="F7866" s="19"/>
      <c r="G7866" s="19"/>
      <c r="N7866" s="19"/>
      <c r="P7866" s="19"/>
      <c r="AL7866" s="19"/>
    </row>
    <row r="7867" spans="1:38" s="11" customFormat="1" x14ac:dyDescent="0.25">
      <c r="A7867" s="3"/>
      <c r="F7867" s="19"/>
      <c r="G7867" s="19"/>
      <c r="N7867" s="19"/>
      <c r="P7867" s="19"/>
      <c r="AL7867" s="19"/>
    </row>
    <row r="7868" spans="1:38" s="11" customFormat="1" x14ac:dyDescent="0.25">
      <c r="A7868" s="3"/>
      <c r="F7868" s="19"/>
      <c r="G7868" s="19"/>
      <c r="N7868" s="19"/>
      <c r="P7868" s="19"/>
      <c r="AL7868" s="19"/>
    </row>
    <row r="7869" spans="1:38" s="11" customFormat="1" x14ac:dyDescent="0.25">
      <c r="A7869" s="3"/>
      <c r="F7869" s="19"/>
      <c r="G7869" s="19"/>
      <c r="N7869" s="19"/>
      <c r="P7869" s="19"/>
      <c r="AL7869" s="19"/>
    </row>
    <row r="7870" spans="1:38" s="11" customFormat="1" x14ac:dyDescent="0.25">
      <c r="A7870" s="3"/>
      <c r="F7870" s="19"/>
      <c r="G7870" s="19"/>
      <c r="N7870" s="19"/>
      <c r="P7870" s="19"/>
      <c r="AL7870" s="19"/>
    </row>
    <row r="7871" spans="1:38" s="11" customFormat="1" x14ac:dyDescent="0.25">
      <c r="A7871" s="3"/>
      <c r="F7871" s="19"/>
      <c r="G7871" s="19"/>
      <c r="N7871" s="19"/>
      <c r="P7871" s="19"/>
      <c r="AL7871" s="19"/>
    </row>
    <row r="7872" spans="1:38" s="11" customFormat="1" x14ac:dyDescent="0.25">
      <c r="A7872" s="3"/>
      <c r="F7872" s="19"/>
      <c r="G7872" s="19"/>
      <c r="N7872" s="19"/>
      <c r="P7872" s="19"/>
      <c r="AL7872" s="19"/>
    </row>
    <row r="7873" spans="1:38" s="11" customFormat="1" x14ac:dyDescent="0.25">
      <c r="A7873" s="3"/>
      <c r="F7873" s="19"/>
      <c r="G7873" s="19"/>
      <c r="N7873" s="19"/>
      <c r="P7873" s="19"/>
      <c r="AL7873" s="19"/>
    </row>
    <row r="7874" spans="1:38" s="11" customFormat="1" x14ac:dyDescent="0.25">
      <c r="A7874" s="3"/>
      <c r="F7874" s="19"/>
      <c r="G7874" s="19"/>
      <c r="N7874" s="19"/>
      <c r="P7874" s="19"/>
      <c r="AL7874" s="19"/>
    </row>
    <row r="7875" spans="1:38" s="11" customFormat="1" x14ac:dyDescent="0.25">
      <c r="A7875" s="3"/>
      <c r="F7875" s="19"/>
      <c r="G7875" s="19"/>
      <c r="N7875" s="19"/>
      <c r="P7875" s="19"/>
      <c r="AL7875" s="19"/>
    </row>
    <row r="7876" spans="1:38" s="11" customFormat="1" x14ac:dyDescent="0.25">
      <c r="A7876" s="3"/>
      <c r="F7876" s="19"/>
      <c r="G7876" s="19"/>
      <c r="N7876" s="19"/>
      <c r="P7876" s="19"/>
      <c r="AL7876" s="19"/>
    </row>
    <row r="7877" spans="1:38" s="11" customFormat="1" x14ac:dyDescent="0.25">
      <c r="A7877" s="3"/>
      <c r="F7877" s="19"/>
      <c r="G7877" s="19"/>
      <c r="N7877" s="19"/>
      <c r="P7877" s="19"/>
      <c r="AL7877" s="19"/>
    </row>
    <row r="7878" spans="1:38" s="11" customFormat="1" x14ac:dyDescent="0.25">
      <c r="A7878" s="3"/>
      <c r="F7878" s="19"/>
      <c r="G7878" s="19"/>
      <c r="N7878" s="19"/>
      <c r="P7878" s="19"/>
      <c r="AL7878" s="19"/>
    </row>
    <row r="7879" spans="1:38" s="11" customFormat="1" x14ac:dyDescent="0.25">
      <c r="A7879" s="3"/>
      <c r="F7879" s="19"/>
      <c r="G7879" s="19"/>
      <c r="N7879" s="19"/>
      <c r="P7879" s="19"/>
      <c r="AL7879" s="19"/>
    </row>
    <row r="7880" spans="1:38" s="11" customFormat="1" x14ac:dyDescent="0.25">
      <c r="A7880" s="3"/>
      <c r="F7880" s="19"/>
      <c r="G7880" s="19"/>
      <c r="N7880" s="19"/>
      <c r="P7880" s="19"/>
      <c r="AL7880" s="19"/>
    </row>
    <row r="7881" spans="1:38" s="11" customFormat="1" x14ac:dyDescent="0.25">
      <c r="A7881" s="3"/>
      <c r="F7881" s="19"/>
      <c r="G7881" s="19"/>
      <c r="N7881" s="19"/>
      <c r="P7881" s="19"/>
      <c r="AL7881" s="19"/>
    </row>
    <row r="7882" spans="1:38" s="11" customFormat="1" x14ac:dyDescent="0.25">
      <c r="A7882" s="3"/>
      <c r="F7882" s="19"/>
      <c r="G7882" s="19"/>
      <c r="N7882" s="19"/>
      <c r="P7882" s="19"/>
      <c r="AL7882" s="19"/>
    </row>
    <row r="7883" spans="1:38" s="11" customFormat="1" x14ac:dyDescent="0.25">
      <c r="A7883" s="3"/>
      <c r="F7883" s="19"/>
      <c r="G7883" s="19"/>
      <c r="N7883" s="19"/>
      <c r="P7883" s="19"/>
      <c r="AL7883" s="19"/>
    </row>
    <row r="7884" spans="1:38" s="11" customFormat="1" x14ac:dyDescent="0.25">
      <c r="A7884" s="3"/>
      <c r="F7884" s="19"/>
      <c r="G7884" s="19"/>
      <c r="N7884" s="19"/>
      <c r="P7884" s="19"/>
      <c r="AL7884" s="19"/>
    </row>
    <row r="7885" spans="1:38" s="11" customFormat="1" x14ac:dyDescent="0.25">
      <c r="A7885" s="3"/>
      <c r="F7885" s="19"/>
      <c r="G7885" s="19"/>
      <c r="N7885" s="19"/>
      <c r="P7885" s="19"/>
      <c r="AL7885" s="19"/>
    </row>
    <row r="7886" spans="1:38" s="11" customFormat="1" x14ac:dyDescent="0.25">
      <c r="A7886" s="3"/>
      <c r="F7886" s="19"/>
      <c r="G7886" s="19"/>
      <c r="N7886" s="19"/>
      <c r="P7886" s="19"/>
      <c r="AL7886" s="19"/>
    </row>
    <row r="7887" spans="1:38" s="11" customFormat="1" x14ac:dyDescent="0.25">
      <c r="A7887" s="3"/>
      <c r="F7887" s="19"/>
      <c r="G7887" s="19"/>
      <c r="N7887" s="19"/>
      <c r="P7887" s="19"/>
      <c r="AL7887" s="19"/>
    </row>
    <row r="7888" spans="1:38" s="11" customFormat="1" x14ac:dyDescent="0.25">
      <c r="A7888" s="3"/>
      <c r="F7888" s="19"/>
      <c r="G7888" s="19"/>
      <c r="N7888" s="19"/>
      <c r="P7888" s="19"/>
      <c r="AL7888" s="19"/>
    </row>
    <row r="7889" spans="1:38" s="11" customFormat="1" x14ac:dyDescent="0.25">
      <c r="A7889" s="3"/>
      <c r="F7889" s="19"/>
      <c r="G7889" s="19"/>
      <c r="N7889" s="19"/>
      <c r="P7889" s="19"/>
      <c r="AL7889" s="19"/>
    </row>
    <row r="7890" spans="1:38" s="11" customFormat="1" x14ac:dyDescent="0.25">
      <c r="A7890" s="3"/>
      <c r="F7890" s="19"/>
      <c r="G7890" s="19"/>
      <c r="N7890" s="19"/>
      <c r="P7890" s="19"/>
      <c r="AL7890" s="19"/>
    </row>
    <row r="7891" spans="1:38" s="11" customFormat="1" x14ac:dyDescent="0.25">
      <c r="A7891" s="3"/>
      <c r="F7891" s="19"/>
      <c r="G7891" s="19"/>
      <c r="N7891" s="19"/>
      <c r="P7891" s="19"/>
      <c r="AL7891" s="19"/>
    </row>
    <row r="7892" spans="1:38" s="11" customFormat="1" x14ac:dyDescent="0.25">
      <c r="A7892" s="3"/>
      <c r="F7892" s="19"/>
      <c r="G7892" s="19"/>
      <c r="N7892" s="19"/>
      <c r="P7892" s="19"/>
      <c r="AL7892" s="19"/>
    </row>
    <row r="7893" spans="1:38" s="11" customFormat="1" x14ac:dyDescent="0.25">
      <c r="A7893" s="3"/>
      <c r="F7893" s="19"/>
      <c r="G7893" s="19"/>
      <c r="N7893" s="19"/>
      <c r="P7893" s="19"/>
      <c r="AL7893" s="19"/>
    </row>
    <row r="7894" spans="1:38" s="11" customFormat="1" x14ac:dyDescent="0.25">
      <c r="A7894" s="3"/>
      <c r="F7894" s="19"/>
      <c r="G7894" s="19"/>
      <c r="N7894" s="19"/>
      <c r="P7894" s="19"/>
      <c r="AL7894" s="19"/>
    </row>
    <row r="7895" spans="1:38" s="11" customFormat="1" x14ac:dyDescent="0.25">
      <c r="A7895" s="3"/>
      <c r="F7895" s="19"/>
      <c r="G7895" s="19"/>
      <c r="N7895" s="19"/>
      <c r="P7895" s="19"/>
      <c r="AL7895" s="19"/>
    </row>
    <row r="7896" spans="1:38" s="11" customFormat="1" x14ac:dyDescent="0.25">
      <c r="A7896" s="3"/>
      <c r="F7896" s="19"/>
      <c r="G7896" s="19"/>
      <c r="N7896" s="19"/>
      <c r="P7896" s="19"/>
      <c r="AL7896" s="19"/>
    </row>
    <row r="7897" spans="1:38" s="11" customFormat="1" x14ac:dyDescent="0.25">
      <c r="A7897" s="3"/>
      <c r="F7897" s="19"/>
      <c r="G7897" s="19"/>
      <c r="N7897" s="19"/>
      <c r="P7897" s="19"/>
      <c r="AL7897" s="19"/>
    </row>
    <row r="7898" spans="1:38" s="11" customFormat="1" x14ac:dyDescent="0.25">
      <c r="A7898" s="3"/>
      <c r="F7898" s="19"/>
      <c r="G7898" s="19"/>
      <c r="N7898" s="19"/>
      <c r="P7898" s="19"/>
      <c r="AL7898" s="19"/>
    </row>
    <row r="7899" spans="1:38" s="11" customFormat="1" x14ac:dyDescent="0.25">
      <c r="A7899" s="3"/>
      <c r="F7899" s="19"/>
      <c r="G7899" s="19"/>
      <c r="N7899" s="19"/>
      <c r="P7899" s="19"/>
      <c r="AL7899" s="19"/>
    </row>
    <row r="7900" spans="1:38" s="11" customFormat="1" x14ac:dyDescent="0.25">
      <c r="A7900" s="3"/>
      <c r="F7900" s="19"/>
      <c r="G7900" s="19"/>
      <c r="N7900" s="19"/>
      <c r="P7900" s="19"/>
      <c r="AL7900" s="19"/>
    </row>
    <row r="7901" spans="1:38" s="11" customFormat="1" x14ac:dyDescent="0.25">
      <c r="A7901" s="3"/>
      <c r="F7901" s="19"/>
      <c r="G7901" s="19"/>
      <c r="N7901" s="19"/>
      <c r="P7901" s="19"/>
      <c r="AL7901" s="19"/>
    </row>
    <row r="7902" spans="1:38" s="11" customFormat="1" x14ac:dyDescent="0.25">
      <c r="A7902" s="3"/>
      <c r="F7902" s="19"/>
      <c r="G7902" s="19"/>
      <c r="N7902" s="19"/>
      <c r="P7902" s="19"/>
      <c r="AL7902" s="19"/>
    </row>
    <row r="7903" spans="1:38" s="11" customFormat="1" x14ac:dyDescent="0.25">
      <c r="A7903" s="3"/>
      <c r="F7903" s="19"/>
      <c r="G7903" s="19"/>
      <c r="N7903" s="19"/>
      <c r="P7903" s="19"/>
      <c r="AL7903" s="19"/>
    </row>
    <row r="7904" spans="1:38" s="11" customFormat="1" x14ac:dyDescent="0.25">
      <c r="A7904" s="3"/>
      <c r="F7904" s="19"/>
      <c r="G7904" s="19"/>
      <c r="N7904" s="19"/>
      <c r="P7904" s="19"/>
      <c r="AL7904" s="19"/>
    </row>
    <row r="7905" spans="1:38" s="11" customFormat="1" x14ac:dyDescent="0.25">
      <c r="A7905" s="3"/>
      <c r="F7905" s="19"/>
      <c r="G7905" s="19"/>
      <c r="N7905" s="19"/>
      <c r="P7905" s="19"/>
      <c r="AL7905" s="19"/>
    </row>
    <row r="7906" spans="1:38" s="11" customFormat="1" x14ac:dyDescent="0.25">
      <c r="A7906" s="3"/>
      <c r="F7906" s="19"/>
      <c r="G7906" s="19"/>
      <c r="N7906" s="19"/>
      <c r="P7906" s="19"/>
      <c r="AL7906" s="19"/>
    </row>
    <row r="7907" spans="1:38" s="11" customFormat="1" x14ac:dyDescent="0.25">
      <c r="A7907" s="3"/>
      <c r="F7907" s="19"/>
      <c r="G7907" s="19"/>
      <c r="N7907" s="19"/>
      <c r="P7907" s="19"/>
      <c r="AL7907" s="19"/>
    </row>
    <row r="7908" spans="1:38" s="11" customFormat="1" x14ac:dyDescent="0.25">
      <c r="A7908" s="3"/>
      <c r="F7908" s="19"/>
      <c r="G7908" s="19"/>
      <c r="N7908" s="19"/>
      <c r="P7908" s="19"/>
      <c r="AL7908" s="19"/>
    </row>
    <row r="7909" spans="1:38" s="11" customFormat="1" x14ac:dyDescent="0.25">
      <c r="A7909" s="3"/>
      <c r="F7909" s="19"/>
      <c r="G7909" s="19"/>
      <c r="N7909" s="19"/>
      <c r="P7909" s="19"/>
      <c r="AL7909" s="19"/>
    </row>
    <row r="7910" spans="1:38" s="11" customFormat="1" x14ac:dyDescent="0.25">
      <c r="A7910" s="3"/>
      <c r="F7910" s="19"/>
      <c r="G7910" s="19"/>
      <c r="N7910" s="19"/>
      <c r="P7910" s="19"/>
      <c r="AL7910" s="19"/>
    </row>
    <row r="7911" spans="1:38" s="11" customFormat="1" x14ac:dyDescent="0.25">
      <c r="A7911" s="3"/>
      <c r="F7911" s="19"/>
      <c r="G7911" s="19"/>
      <c r="N7911" s="19"/>
      <c r="P7911" s="19"/>
      <c r="AL7911" s="19"/>
    </row>
    <row r="7912" spans="1:38" s="11" customFormat="1" x14ac:dyDescent="0.25">
      <c r="A7912" s="3"/>
      <c r="F7912" s="19"/>
      <c r="G7912" s="19"/>
      <c r="N7912" s="19"/>
      <c r="P7912" s="19"/>
      <c r="AL7912" s="19"/>
    </row>
    <row r="7913" spans="1:38" s="11" customFormat="1" x14ac:dyDescent="0.25">
      <c r="A7913" s="3"/>
      <c r="F7913" s="19"/>
      <c r="G7913" s="19"/>
      <c r="N7913" s="19"/>
      <c r="P7913" s="19"/>
      <c r="AL7913" s="19"/>
    </row>
    <row r="7914" spans="1:38" s="11" customFormat="1" x14ac:dyDescent="0.25">
      <c r="A7914" s="3"/>
      <c r="F7914" s="19"/>
      <c r="G7914" s="19"/>
      <c r="N7914" s="19"/>
      <c r="P7914" s="19"/>
      <c r="AL7914" s="19"/>
    </row>
    <row r="7915" spans="1:38" s="11" customFormat="1" x14ac:dyDescent="0.25">
      <c r="A7915" s="3"/>
      <c r="F7915" s="19"/>
      <c r="G7915" s="19"/>
      <c r="N7915" s="19"/>
      <c r="P7915" s="19"/>
      <c r="AL7915" s="19"/>
    </row>
    <row r="7916" spans="1:38" s="11" customFormat="1" x14ac:dyDescent="0.25">
      <c r="A7916" s="3"/>
      <c r="F7916" s="19"/>
      <c r="G7916" s="19"/>
      <c r="N7916" s="19"/>
      <c r="P7916" s="19"/>
      <c r="AL7916" s="19"/>
    </row>
    <row r="7917" spans="1:38" s="11" customFormat="1" x14ac:dyDescent="0.25">
      <c r="A7917" s="3"/>
      <c r="F7917" s="19"/>
      <c r="G7917" s="19"/>
      <c r="N7917" s="19"/>
      <c r="P7917" s="19"/>
      <c r="AL7917" s="19"/>
    </row>
    <row r="7918" spans="1:38" s="11" customFormat="1" x14ac:dyDescent="0.25">
      <c r="A7918" s="3"/>
      <c r="F7918" s="19"/>
      <c r="G7918" s="19"/>
      <c r="N7918" s="19"/>
      <c r="P7918" s="19"/>
      <c r="AL7918" s="19"/>
    </row>
    <row r="7919" spans="1:38" s="11" customFormat="1" x14ac:dyDescent="0.25">
      <c r="A7919" s="3"/>
      <c r="F7919" s="19"/>
      <c r="G7919" s="19"/>
      <c r="N7919" s="19"/>
      <c r="P7919" s="19"/>
      <c r="AL7919" s="19"/>
    </row>
    <row r="7920" spans="1:38" s="11" customFormat="1" x14ac:dyDescent="0.25">
      <c r="A7920" s="3"/>
      <c r="F7920" s="19"/>
      <c r="G7920" s="19"/>
      <c r="N7920" s="19"/>
      <c r="P7920" s="19"/>
      <c r="AL7920" s="19"/>
    </row>
    <row r="7921" spans="1:38" s="11" customFormat="1" x14ac:dyDescent="0.25">
      <c r="A7921" s="3"/>
      <c r="F7921" s="19"/>
      <c r="G7921" s="19"/>
      <c r="N7921" s="19"/>
      <c r="P7921" s="19"/>
      <c r="AL7921" s="19"/>
    </row>
    <row r="7922" spans="1:38" s="11" customFormat="1" x14ac:dyDescent="0.25">
      <c r="A7922" s="3"/>
      <c r="F7922" s="19"/>
      <c r="G7922" s="19"/>
      <c r="N7922" s="19"/>
      <c r="P7922" s="19"/>
      <c r="AL7922" s="19"/>
    </row>
    <row r="7923" spans="1:38" s="11" customFormat="1" x14ac:dyDescent="0.25">
      <c r="A7923" s="3"/>
      <c r="F7923" s="19"/>
      <c r="G7923" s="19"/>
      <c r="N7923" s="19"/>
      <c r="P7923" s="19"/>
      <c r="AL7923" s="19"/>
    </row>
    <row r="7924" spans="1:38" s="11" customFormat="1" x14ac:dyDescent="0.25">
      <c r="A7924" s="3"/>
      <c r="F7924" s="19"/>
      <c r="G7924" s="19"/>
      <c r="N7924" s="19"/>
      <c r="P7924" s="19"/>
      <c r="AL7924" s="19"/>
    </row>
    <row r="7925" spans="1:38" s="11" customFormat="1" x14ac:dyDescent="0.25">
      <c r="A7925" s="3"/>
      <c r="F7925" s="19"/>
      <c r="G7925" s="19"/>
      <c r="N7925" s="19"/>
      <c r="P7925" s="19"/>
      <c r="AL7925" s="19"/>
    </row>
    <row r="7926" spans="1:38" s="11" customFormat="1" x14ac:dyDescent="0.25">
      <c r="A7926" s="3"/>
      <c r="F7926" s="19"/>
      <c r="G7926" s="19"/>
      <c r="N7926" s="19"/>
      <c r="P7926" s="19"/>
      <c r="AL7926" s="19"/>
    </row>
    <row r="7927" spans="1:38" s="11" customFormat="1" x14ac:dyDescent="0.25">
      <c r="A7927" s="3"/>
      <c r="F7927" s="19"/>
      <c r="G7927" s="19"/>
      <c r="N7927" s="19"/>
      <c r="P7927" s="19"/>
      <c r="AL7927" s="19"/>
    </row>
    <row r="7928" spans="1:38" s="11" customFormat="1" x14ac:dyDescent="0.25">
      <c r="A7928" s="3"/>
      <c r="F7928" s="19"/>
      <c r="G7928" s="19"/>
      <c r="N7928" s="19"/>
      <c r="P7928" s="19"/>
      <c r="AL7928" s="19"/>
    </row>
    <row r="7929" spans="1:38" s="11" customFormat="1" x14ac:dyDescent="0.25">
      <c r="A7929" s="3"/>
      <c r="F7929" s="19"/>
      <c r="G7929" s="19"/>
      <c r="N7929" s="19"/>
      <c r="P7929" s="19"/>
      <c r="AL7929" s="19"/>
    </row>
    <row r="7930" spans="1:38" s="11" customFormat="1" x14ac:dyDescent="0.25">
      <c r="A7930" s="3"/>
      <c r="F7930" s="19"/>
      <c r="G7930" s="19"/>
      <c r="N7930" s="19"/>
      <c r="P7930" s="19"/>
      <c r="AL7930" s="19"/>
    </row>
    <row r="7931" spans="1:38" s="11" customFormat="1" x14ac:dyDescent="0.25">
      <c r="A7931" s="3"/>
      <c r="F7931" s="19"/>
      <c r="G7931" s="19"/>
      <c r="N7931" s="19"/>
      <c r="P7931" s="19"/>
      <c r="AL7931" s="19"/>
    </row>
    <row r="7932" spans="1:38" s="11" customFormat="1" x14ac:dyDescent="0.25">
      <c r="A7932" s="3"/>
      <c r="F7932" s="19"/>
      <c r="G7932" s="19"/>
      <c r="N7932" s="19"/>
      <c r="P7932" s="19"/>
      <c r="AL7932" s="19"/>
    </row>
    <row r="7933" spans="1:38" s="11" customFormat="1" x14ac:dyDescent="0.25">
      <c r="A7933" s="3"/>
      <c r="F7933" s="19"/>
      <c r="G7933" s="19"/>
      <c r="N7933" s="19"/>
      <c r="P7933" s="19"/>
      <c r="AL7933" s="19"/>
    </row>
    <row r="7934" spans="1:38" s="11" customFormat="1" x14ac:dyDescent="0.25">
      <c r="A7934" s="3"/>
      <c r="F7934" s="19"/>
      <c r="G7934" s="19"/>
      <c r="N7934" s="19"/>
      <c r="P7934" s="19"/>
      <c r="AL7934" s="19"/>
    </row>
    <row r="7935" spans="1:38" s="11" customFormat="1" x14ac:dyDescent="0.25">
      <c r="A7935" s="3"/>
      <c r="F7935" s="19"/>
      <c r="G7935" s="19"/>
      <c r="N7935" s="19"/>
      <c r="P7935" s="19"/>
      <c r="AL7935" s="19"/>
    </row>
    <row r="7936" spans="1:38" s="11" customFormat="1" x14ac:dyDescent="0.25">
      <c r="A7936" s="3"/>
      <c r="F7936" s="19"/>
      <c r="G7936" s="19"/>
      <c r="N7936" s="19"/>
      <c r="P7936" s="19"/>
      <c r="AL7936" s="19"/>
    </row>
    <row r="7937" spans="1:38" s="11" customFormat="1" x14ac:dyDescent="0.25">
      <c r="A7937" s="3"/>
      <c r="F7937" s="19"/>
      <c r="G7937" s="19"/>
      <c r="N7937" s="19"/>
      <c r="P7937" s="19"/>
      <c r="AL7937" s="19"/>
    </row>
    <row r="7938" spans="1:38" s="11" customFormat="1" x14ac:dyDescent="0.25">
      <c r="A7938" s="3"/>
      <c r="F7938" s="19"/>
      <c r="G7938" s="19"/>
      <c r="N7938" s="19"/>
      <c r="P7938" s="19"/>
      <c r="AL7938" s="19"/>
    </row>
    <row r="7939" spans="1:38" s="11" customFormat="1" x14ac:dyDescent="0.25">
      <c r="A7939" s="3"/>
      <c r="F7939" s="19"/>
      <c r="G7939" s="19"/>
      <c r="N7939" s="19"/>
      <c r="P7939" s="19"/>
      <c r="AL7939" s="19"/>
    </row>
    <row r="7940" spans="1:38" s="11" customFormat="1" x14ac:dyDescent="0.25">
      <c r="A7940" s="3"/>
      <c r="F7940" s="19"/>
      <c r="G7940" s="19"/>
      <c r="N7940" s="19"/>
      <c r="P7940" s="19"/>
      <c r="AL7940" s="19"/>
    </row>
    <row r="7941" spans="1:38" s="11" customFormat="1" x14ac:dyDescent="0.25">
      <c r="A7941" s="3"/>
      <c r="F7941" s="19"/>
      <c r="G7941" s="19"/>
      <c r="N7941" s="19"/>
      <c r="P7941" s="19"/>
      <c r="AL7941" s="19"/>
    </row>
    <row r="7942" spans="1:38" s="11" customFormat="1" x14ac:dyDescent="0.25">
      <c r="A7942" s="3"/>
      <c r="F7942" s="19"/>
      <c r="G7942" s="19"/>
      <c r="N7942" s="19"/>
      <c r="P7942" s="19"/>
      <c r="AL7942" s="19"/>
    </row>
    <row r="7943" spans="1:38" s="11" customFormat="1" x14ac:dyDescent="0.25">
      <c r="A7943" s="3"/>
      <c r="F7943" s="19"/>
      <c r="G7943" s="19"/>
      <c r="N7943" s="19"/>
      <c r="P7943" s="19"/>
      <c r="AL7943" s="19"/>
    </row>
    <row r="7944" spans="1:38" s="11" customFormat="1" x14ac:dyDescent="0.25">
      <c r="A7944" s="3"/>
      <c r="F7944" s="19"/>
      <c r="G7944" s="19"/>
      <c r="N7944" s="19"/>
      <c r="P7944" s="19"/>
      <c r="AL7944" s="19"/>
    </row>
    <row r="7945" spans="1:38" s="11" customFormat="1" x14ac:dyDescent="0.25">
      <c r="A7945" s="3"/>
      <c r="F7945" s="19"/>
      <c r="G7945" s="19"/>
      <c r="N7945" s="19"/>
      <c r="P7945" s="19"/>
      <c r="AL7945" s="19"/>
    </row>
    <row r="7946" spans="1:38" s="11" customFormat="1" x14ac:dyDescent="0.25">
      <c r="A7946" s="3"/>
      <c r="F7946" s="19"/>
      <c r="G7946" s="19"/>
      <c r="N7946" s="19"/>
      <c r="P7946" s="19"/>
      <c r="AL7946" s="19"/>
    </row>
    <row r="7947" spans="1:38" s="11" customFormat="1" x14ac:dyDescent="0.25">
      <c r="A7947" s="3"/>
      <c r="F7947" s="19"/>
      <c r="G7947" s="19"/>
      <c r="N7947" s="19"/>
      <c r="P7947" s="19"/>
      <c r="AL7947" s="19"/>
    </row>
    <row r="7948" spans="1:38" s="11" customFormat="1" x14ac:dyDescent="0.25">
      <c r="A7948" s="3"/>
      <c r="F7948" s="19"/>
      <c r="G7948" s="19"/>
      <c r="N7948" s="19"/>
      <c r="P7948" s="19"/>
      <c r="AL7948" s="19"/>
    </row>
    <row r="7949" spans="1:38" s="11" customFormat="1" x14ac:dyDescent="0.25">
      <c r="A7949" s="3"/>
      <c r="F7949" s="19"/>
      <c r="G7949" s="19"/>
      <c r="N7949" s="19"/>
      <c r="P7949" s="19"/>
      <c r="AL7949" s="19"/>
    </row>
    <row r="7950" spans="1:38" s="11" customFormat="1" x14ac:dyDescent="0.25">
      <c r="A7950" s="3"/>
      <c r="F7950" s="19"/>
      <c r="G7950" s="19"/>
      <c r="N7950" s="19"/>
      <c r="P7950" s="19"/>
      <c r="AL7950" s="19"/>
    </row>
    <row r="7951" spans="1:38" s="11" customFormat="1" x14ac:dyDescent="0.25">
      <c r="A7951" s="3"/>
      <c r="F7951" s="19"/>
      <c r="G7951" s="19"/>
      <c r="N7951" s="19"/>
      <c r="P7951" s="19"/>
      <c r="AL7951" s="19"/>
    </row>
    <row r="7952" spans="1:38" s="11" customFormat="1" x14ac:dyDescent="0.25">
      <c r="A7952" s="3"/>
      <c r="F7952" s="19"/>
      <c r="G7952" s="19"/>
      <c r="N7952" s="19"/>
      <c r="P7952" s="19"/>
      <c r="AL7952" s="19"/>
    </row>
    <row r="7953" spans="1:38" s="11" customFormat="1" x14ac:dyDescent="0.25">
      <c r="A7953" s="3"/>
      <c r="F7953" s="19"/>
      <c r="G7953" s="19"/>
      <c r="N7953" s="19"/>
      <c r="P7953" s="19"/>
      <c r="AL7953" s="19"/>
    </row>
    <row r="7954" spans="1:38" s="11" customFormat="1" x14ac:dyDescent="0.25">
      <c r="A7954" s="3"/>
      <c r="F7954" s="19"/>
      <c r="G7954" s="19"/>
      <c r="N7954" s="19"/>
      <c r="P7954" s="19"/>
      <c r="AL7954" s="19"/>
    </row>
    <row r="7955" spans="1:38" s="11" customFormat="1" x14ac:dyDescent="0.25">
      <c r="A7955" s="3"/>
      <c r="F7955" s="19"/>
      <c r="G7955" s="19"/>
      <c r="N7955" s="19"/>
      <c r="P7955" s="19"/>
      <c r="AL7955" s="19"/>
    </row>
    <row r="7956" spans="1:38" s="11" customFormat="1" x14ac:dyDescent="0.25">
      <c r="A7956" s="3"/>
      <c r="F7956" s="19"/>
      <c r="G7956" s="19"/>
      <c r="N7956" s="19"/>
      <c r="P7956" s="19"/>
      <c r="AL7956" s="19"/>
    </row>
    <row r="7957" spans="1:38" s="11" customFormat="1" x14ac:dyDescent="0.25">
      <c r="A7957" s="3"/>
      <c r="F7957" s="19"/>
      <c r="G7957" s="19"/>
      <c r="N7957" s="19"/>
      <c r="P7957" s="19"/>
      <c r="AL7957" s="19"/>
    </row>
    <row r="7958" spans="1:38" s="11" customFormat="1" x14ac:dyDescent="0.25">
      <c r="A7958" s="3"/>
      <c r="F7958" s="19"/>
      <c r="G7958" s="19"/>
      <c r="N7958" s="19"/>
      <c r="P7958" s="19"/>
      <c r="AL7958" s="19"/>
    </row>
    <row r="7959" spans="1:38" s="11" customFormat="1" x14ac:dyDescent="0.25">
      <c r="A7959" s="3"/>
      <c r="F7959" s="19"/>
      <c r="G7959" s="19"/>
      <c r="N7959" s="19"/>
      <c r="P7959" s="19"/>
      <c r="AL7959" s="19"/>
    </row>
    <row r="7960" spans="1:38" s="11" customFormat="1" x14ac:dyDescent="0.25">
      <c r="A7960" s="3"/>
      <c r="F7960" s="19"/>
      <c r="G7960" s="19"/>
      <c r="N7960" s="19"/>
      <c r="P7960" s="19"/>
      <c r="AL7960" s="19"/>
    </row>
    <row r="7961" spans="1:38" s="11" customFormat="1" x14ac:dyDescent="0.25">
      <c r="A7961" s="3"/>
      <c r="F7961" s="19"/>
      <c r="G7961" s="19"/>
      <c r="N7961" s="19"/>
      <c r="P7961" s="19"/>
      <c r="AL7961" s="19"/>
    </row>
    <row r="7962" spans="1:38" s="11" customFormat="1" x14ac:dyDescent="0.25">
      <c r="A7962" s="3"/>
      <c r="F7962" s="19"/>
      <c r="G7962" s="19"/>
      <c r="N7962" s="19"/>
      <c r="P7962" s="19"/>
      <c r="AL7962" s="19"/>
    </row>
    <row r="7963" spans="1:38" s="11" customFormat="1" x14ac:dyDescent="0.25">
      <c r="A7963" s="3"/>
      <c r="F7963" s="19"/>
      <c r="G7963" s="19"/>
      <c r="N7963" s="19"/>
      <c r="P7963" s="19"/>
      <c r="AL7963" s="19"/>
    </row>
    <row r="7964" spans="1:38" s="11" customFormat="1" x14ac:dyDescent="0.25">
      <c r="A7964" s="3"/>
      <c r="F7964" s="19"/>
      <c r="G7964" s="19"/>
      <c r="N7964" s="19"/>
      <c r="P7964" s="19"/>
      <c r="AL7964" s="19"/>
    </row>
    <row r="7965" spans="1:38" s="11" customFormat="1" x14ac:dyDescent="0.25">
      <c r="A7965" s="3"/>
      <c r="F7965" s="19"/>
      <c r="G7965" s="19"/>
      <c r="N7965" s="19"/>
      <c r="P7965" s="19"/>
      <c r="AL7965" s="19"/>
    </row>
    <row r="7966" spans="1:38" s="11" customFormat="1" x14ac:dyDescent="0.25">
      <c r="A7966" s="3"/>
      <c r="F7966" s="19"/>
      <c r="G7966" s="19"/>
      <c r="N7966" s="19"/>
      <c r="P7966" s="19"/>
      <c r="AL7966" s="19"/>
    </row>
    <row r="7967" spans="1:38" s="11" customFormat="1" x14ac:dyDescent="0.25">
      <c r="A7967" s="3"/>
      <c r="F7967" s="19"/>
      <c r="G7967" s="19"/>
      <c r="N7967" s="19"/>
      <c r="P7967" s="19"/>
      <c r="AL7967" s="19"/>
    </row>
    <row r="7968" spans="1:38" s="11" customFormat="1" x14ac:dyDescent="0.25">
      <c r="A7968" s="3"/>
      <c r="F7968" s="19"/>
      <c r="G7968" s="19"/>
      <c r="N7968" s="19"/>
      <c r="P7968" s="19"/>
      <c r="AL7968" s="19"/>
    </row>
    <row r="7969" spans="1:38" s="11" customFormat="1" x14ac:dyDescent="0.25">
      <c r="A7969" s="3"/>
      <c r="F7969" s="19"/>
      <c r="G7969" s="19"/>
      <c r="N7969" s="19"/>
      <c r="P7969" s="19"/>
      <c r="AL7969" s="19"/>
    </row>
    <row r="7970" spans="1:38" s="11" customFormat="1" x14ac:dyDescent="0.25">
      <c r="A7970" s="3"/>
      <c r="F7970" s="19"/>
      <c r="G7970" s="19"/>
      <c r="N7970" s="19"/>
      <c r="P7970" s="19"/>
      <c r="AL7970" s="19"/>
    </row>
    <row r="7971" spans="1:38" s="11" customFormat="1" x14ac:dyDescent="0.25">
      <c r="A7971" s="3"/>
      <c r="F7971" s="19"/>
      <c r="G7971" s="19"/>
      <c r="N7971" s="19"/>
      <c r="P7971" s="19"/>
      <c r="AL7971" s="19"/>
    </row>
    <row r="7972" spans="1:38" s="11" customFormat="1" x14ac:dyDescent="0.25">
      <c r="A7972" s="3"/>
      <c r="F7972" s="19"/>
      <c r="G7972" s="19"/>
      <c r="N7972" s="19"/>
      <c r="P7972" s="19"/>
      <c r="AL7972" s="19"/>
    </row>
    <row r="7973" spans="1:38" s="11" customFormat="1" x14ac:dyDescent="0.25">
      <c r="A7973" s="3"/>
      <c r="F7973" s="19"/>
      <c r="G7973" s="19"/>
      <c r="N7973" s="19"/>
      <c r="P7973" s="19"/>
      <c r="AL7973" s="19"/>
    </row>
    <row r="7974" spans="1:38" s="11" customFormat="1" x14ac:dyDescent="0.25">
      <c r="A7974" s="3"/>
      <c r="F7974" s="19"/>
      <c r="G7974" s="19"/>
      <c r="N7974" s="19"/>
      <c r="P7974" s="19"/>
      <c r="AL7974" s="19"/>
    </row>
    <row r="7975" spans="1:38" s="11" customFormat="1" x14ac:dyDescent="0.25">
      <c r="A7975" s="3"/>
      <c r="F7975" s="19"/>
      <c r="G7975" s="19"/>
      <c r="N7975" s="19"/>
      <c r="P7975" s="19"/>
      <c r="AL7975" s="19"/>
    </row>
    <row r="7976" spans="1:38" s="11" customFormat="1" x14ac:dyDescent="0.25">
      <c r="A7976" s="3"/>
      <c r="F7976" s="19"/>
      <c r="G7976" s="19"/>
      <c r="N7976" s="19"/>
      <c r="P7976" s="19"/>
      <c r="AL7976" s="19"/>
    </row>
    <row r="7977" spans="1:38" s="11" customFormat="1" x14ac:dyDescent="0.25">
      <c r="A7977" s="3"/>
      <c r="F7977" s="19"/>
      <c r="G7977" s="19"/>
      <c r="N7977" s="19"/>
      <c r="P7977" s="19"/>
      <c r="AL7977" s="19"/>
    </row>
    <row r="7978" spans="1:38" s="11" customFormat="1" x14ac:dyDescent="0.25">
      <c r="A7978" s="3"/>
      <c r="F7978" s="19"/>
      <c r="G7978" s="19"/>
      <c r="N7978" s="19"/>
      <c r="P7978" s="19"/>
      <c r="AL7978" s="19"/>
    </row>
    <row r="7979" spans="1:38" s="11" customFormat="1" x14ac:dyDescent="0.25">
      <c r="A7979" s="3"/>
      <c r="F7979" s="19"/>
      <c r="G7979" s="19"/>
      <c r="N7979" s="19"/>
      <c r="P7979" s="19"/>
      <c r="AL7979" s="19"/>
    </row>
    <row r="7980" spans="1:38" s="11" customFormat="1" x14ac:dyDescent="0.25">
      <c r="A7980" s="3"/>
      <c r="F7980" s="19"/>
      <c r="G7980" s="19"/>
      <c r="N7980" s="19"/>
      <c r="P7980" s="19"/>
      <c r="AL7980" s="19"/>
    </row>
    <row r="7981" spans="1:38" s="11" customFormat="1" x14ac:dyDescent="0.25">
      <c r="A7981" s="3"/>
      <c r="F7981" s="19"/>
      <c r="G7981" s="19"/>
      <c r="N7981" s="19"/>
      <c r="P7981" s="19"/>
      <c r="AL7981" s="19"/>
    </row>
    <row r="7982" spans="1:38" s="11" customFormat="1" x14ac:dyDescent="0.25">
      <c r="A7982" s="3"/>
      <c r="F7982" s="19"/>
      <c r="G7982" s="19"/>
      <c r="N7982" s="19"/>
      <c r="P7982" s="19"/>
      <c r="AL7982" s="19"/>
    </row>
    <row r="7983" spans="1:38" s="11" customFormat="1" x14ac:dyDescent="0.25">
      <c r="A7983" s="3"/>
      <c r="F7983" s="19"/>
      <c r="G7983" s="19"/>
      <c r="N7983" s="19"/>
      <c r="P7983" s="19"/>
      <c r="AL7983" s="19"/>
    </row>
    <row r="7984" spans="1:38" s="11" customFormat="1" x14ac:dyDescent="0.25">
      <c r="A7984" s="3"/>
      <c r="F7984" s="19"/>
      <c r="G7984" s="19"/>
      <c r="N7984" s="19"/>
      <c r="P7984" s="19"/>
      <c r="AL7984" s="19"/>
    </row>
    <row r="7985" spans="1:38" s="11" customFormat="1" x14ac:dyDescent="0.25">
      <c r="A7985" s="3"/>
      <c r="F7985" s="19"/>
      <c r="G7985" s="19"/>
      <c r="N7985" s="19"/>
      <c r="P7985" s="19"/>
      <c r="AL7985" s="19"/>
    </row>
    <row r="7986" spans="1:38" s="11" customFormat="1" x14ac:dyDescent="0.25">
      <c r="A7986" s="3"/>
      <c r="F7986" s="19"/>
      <c r="G7986" s="19"/>
      <c r="N7986" s="19"/>
      <c r="P7986" s="19"/>
      <c r="AL7986" s="19"/>
    </row>
    <row r="7987" spans="1:38" s="11" customFormat="1" x14ac:dyDescent="0.25">
      <c r="A7987" s="3"/>
      <c r="F7987" s="19"/>
      <c r="G7987" s="19"/>
      <c r="N7987" s="19"/>
      <c r="P7987" s="19"/>
      <c r="AL7987" s="19"/>
    </row>
    <row r="7988" spans="1:38" s="11" customFormat="1" x14ac:dyDescent="0.25">
      <c r="A7988" s="3"/>
      <c r="F7988" s="19"/>
      <c r="G7988" s="19"/>
      <c r="N7988" s="19"/>
      <c r="P7988" s="19"/>
      <c r="AL7988" s="19"/>
    </row>
    <row r="7989" spans="1:38" s="11" customFormat="1" x14ac:dyDescent="0.25">
      <c r="A7989" s="3"/>
      <c r="F7989" s="19"/>
      <c r="G7989" s="19"/>
      <c r="N7989" s="19"/>
      <c r="P7989" s="19"/>
      <c r="AL7989" s="19"/>
    </row>
    <row r="7990" spans="1:38" s="11" customFormat="1" x14ac:dyDescent="0.25">
      <c r="A7990" s="3"/>
      <c r="F7990" s="19"/>
      <c r="G7990" s="19"/>
      <c r="N7990" s="19"/>
      <c r="P7990" s="19"/>
      <c r="AL7990" s="19"/>
    </row>
    <row r="7991" spans="1:38" s="11" customFormat="1" x14ac:dyDescent="0.25">
      <c r="A7991" s="3"/>
      <c r="F7991" s="19"/>
      <c r="G7991" s="19"/>
      <c r="N7991" s="19"/>
      <c r="P7991" s="19"/>
      <c r="AL7991" s="19"/>
    </row>
    <row r="7992" spans="1:38" s="11" customFormat="1" x14ac:dyDescent="0.25">
      <c r="A7992" s="3"/>
      <c r="F7992" s="19"/>
      <c r="G7992" s="19"/>
      <c r="N7992" s="19"/>
      <c r="P7992" s="19"/>
      <c r="AL7992" s="19"/>
    </row>
    <row r="7993" spans="1:38" s="11" customFormat="1" x14ac:dyDescent="0.25">
      <c r="A7993" s="3"/>
      <c r="F7993" s="19"/>
      <c r="G7993" s="19"/>
      <c r="N7993" s="19"/>
      <c r="P7993" s="19"/>
      <c r="AL7993" s="19"/>
    </row>
    <row r="7994" spans="1:38" s="11" customFormat="1" x14ac:dyDescent="0.25">
      <c r="A7994" s="3"/>
      <c r="F7994" s="19"/>
      <c r="G7994" s="19"/>
      <c r="N7994" s="19"/>
      <c r="P7994" s="19"/>
      <c r="AL7994" s="19"/>
    </row>
    <row r="7995" spans="1:38" s="11" customFormat="1" x14ac:dyDescent="0.25">
      <c r="A7995" s="3"/>
      <c r="F7995" s="19"/>
      <c r="G7995" s="19"/>
      <c r="N7995" s="19"/>
      <c r="P7995" s="19"/>
      <c r="AL7995" s="19"/>
    </row>
    <row r="7996" spans="1:38" s="11" customFormat="1" x14ac:dyDescent="0.25">
      <c r="A7996" s="3"/>
      <c r="F7996" s="19"/>
      <c r="G7996" s="19"/>
      <c r="N7996" s="19"/>
      <c r="P7996" s="19"/>
      <c r="AL7996" s="19"/>
    </row>
    <row r="7997" spans="1:38" s="11" customFormat="1" x14ac:dyDescent="0.25">
      <c r="A7997" s="3"/>
      <c r="F7997" s="19"/>
      <c r="G7997" s="19"/>
      <c r="N7997" s="19"/>
      <c r="P7997" s="19"/>
      <c r="AL7997" s="19"/>
    </row>
    <row r="7998" spans="1:38" s="11" customFormat="1" x14ac:dyDescent="0.25">
      <c r="A7998" s="3"/>
      <c r="F7998" s="19"/>
      <c r="G7998" s="19"/>
      <c r="N7998" s="19"/>
      <c r="P7998" s="19"/>
      <c r="AL7998" s="19"/>
    </row>
    <row r="7999" spans="1:38" s="11" customFormat="1" x14ac:dyDescent="0.25">
      <c r="A7999" s="3"/>
      <c r="F7999" s="19"/>
      <c r="G7999" s="19"/>
      <c r="N7999" s="19"/>
      <c r="P7999" s="19"/>
      <c r="AL7999" s="19"/>
    </row>
    <row r="8000" spans="1:38" s="11" customFormat="1" x14ac:dyDescent="0.25">
      <c r="A8000" s="3"/>
      <c r="F8000" s="19"/>
      <c r="G8000" s="19"/>
      <c r="N8000" s="19"/>
      <c r="P8000" s="19"/>
      <c r="AL8000" s="19"/>
    </row>
    <row r="8001" spans="1:38" s="11" customFormat="1" x14ac:dyDescent="0.25">
      <c r="A8001" s="3"/>
      <c r="F8001" s="19"/>
      <c r="G8001" s="19"/>
      <c r="N8001" s="19"/>
      <c r="P8001" s="19"/>
      <c r="AL8001" s="19"/>
    </row>
    <row r="8002" spans="1:38" s="11" customFormat="1" x14ac:dyDescent="0.25">
      <c r="A8002" s="3"/>
      <c r="F8002" s="19"/>
      <c r="G8002" s="19"/>
      <c r="N8002" s="19"/>
      <c r="P8002" s="19"/>
      <c r="AL8002" s="19"/>
    </row>
    <row r="8003" spans="1:38" s="11" customFormat="1" x14ac:dyDescent="0.25">
      <c r="A8003" s="3"/>
      <c r="F8003" s="19"/>
      <c r="G8003" s="19"/>
      <c r="N8003" s="19"/>
      <c r="P8003" s="19"/>
      <c r="AL8003" s="19"/>
    </row>
    <row r="8004" spans="1:38" s="11" customFormat="1" x14ac:dyDescent="0.25">
      <c r="A8004" s="3"/>
      <c r="F8004" s="19"/>
      <c r="G8004" s="19"/>
      <c r="N8004" s="19"/>
      <c r="P8004" s="19"/>
      <c r="AL8004" s="19"/>
    </row>
    <row r="8005" spans="1:38" s="11" customFormat="1" x14ac:dyDescent="0.25">
      <c r="A8005" s="3"/>
      <c r="F8005" s="19"/>
      <c r="G8005" s="19"/>
      <c r="N8005" s="19"/>
      <c r="P8005" s="19"/>
      <c r="AL8005" s="19"/>
    </row>
    <row r="8006" spans="1:38" s="11" customFormat="1" x14ac:dyDescent="0.25">
      <c r="A8006" s="3"/>
      <c r="F8006" s="19"/>
      <c r="G8006" s="19"/>
      <c r="N8006" s="19"/>
      <c r="P8006" s="19"/>
      <c r="AL8006" s="19"/>
    </row>
    <row r="8007" spans="1:38" s="11" customFormat="1" x14ac:dyDescent="0.25">
      <c r="A8007" s="3"/>
      <c r="F8007" s="19"/>
      <c r="G8007" s="19"/>
      <c r="N8007" s="19"/>
      <c r="P8007" s="19"/>
      <c r="AL8007" s="19"/>
    </row>
    <row r="8008" spans="1:38" s="11" customFormat="1" x14ac:dyDescent="0.25">
      <c r="A8008" s="3"/>
      <c r="F8008" s="19"/>
      <c r="G8008" s="19"/>
      <c r="N8008" s="19"/>
      <c r="P8008" s="19"/>
      <c r="AL8008" s="19"/>
    </row>
    <row r="8009" spans="1:38" s="11" customFormat="1" x14ac:dyDescent="0.25">
      <c r="A8009" s="3"/>
      <c r="F8009" s="19"/>
      <c r="G8009" s="19"/>
      <c r="N8009" s="19"/>
      <c r="P8009" s="19"/>
      <c r="AL8009" s="19"/>
    </row>
    <row r="8010" spans="1:38" s="11" customFormat="1" x14ac:dyDescent="0.25">
      <c r="A8010" s="3"/>
      <c r="F8010" s="19"/>
      <c r="G8010" s="19"/>
      <c r="N8010" s="19"/>
      <c r="P8010" s="19"/>
      <c r="AL8010" s="19"/>
    </row>
    <row r="8011" spans="1:38" s="11" customFormat="1" x14ac:dyDescent="0.25">
      <c r="A8011" s="3"/>
      <c r="F8011" s="19"/>
      <c r="G8011" s="19"/>
      <c r="N8011" s="19"/>
      <c r="P8011" s="19"/>
      <c r="AL8011" s="19"/>
    </row>
    <row r="8012" spans="1:38" s="11" customFormat="1" x14ac:dyDescent="0.25">
      <c r="A8012" s="3"/>
      <c r="F8012" s="19"/>
      <c r="G8012" s="19"/>
      <c r="N8012" s="19"/>
      <c r="P8012" s="19"/>
      <c r="AL8012" s="19"/>
    </row>
    <row r="8013" spans="1:38" s="11" customFormat="1" x14ac:dyDescent="0.25">
      <c r="A8013" s="3"/>
      <c r="F8013" s="19"/>
      <c r="G8013" s="19"/>
      <c r="N8013" s="19"/>
      <c r="P8013" s="19"/>
      <c r="AL8013" s="19"/>
    </row>
    <row r="8014" spans="1:38" s="11" customFormat="1" x14ac:dyDescent="0.25">
      <c r="A8014" s="3"/>
      <c r="F8014" s="19"/>
      <c r="G8014" s="19"/>
      <c r="N8014" s="19"/>
      <c r="P8014" s="19"/>
      <c r="AL8014" s="19"/>
    </row>
    <row r="8015" spans="1:38" s="11" customFormat="1" x14ac:dyDescent="0.25">
      <c r="A8015" s="3"/>
      <c r="F8015" s="19"/>
      <c r="G8015" s="19"/>
      <c r="N8015" s="19"/>
      <c r="P8015" s="19"/>
      <c r="AL8015" s="19"/>
    </row>
    <row r="8016" spans="1:38" s="11" customFormat="1" x14ac:dyDescent="0.25">
      <c r="A8016" s="3"/>
      <c r="F8016" s="19"/>
      <c r="G8016" s="19"/>
      <c r="N8016" s="19"/>
      <c r="P8016" s="19"/>
      <c r="AL8016" s="19"/>
    </row>
    <row r="8017" spans="1:38" s="11" customFormat="1" x14ac:dyDescent="0.25">
      <c r="A8017" s="3"/>
      <c r="F8017" s="19"/>
      <c r="G8017" s="19"/>
      <c r="N8017" s="19"/>
      <c r="P8017" s="19"/>
      <c r="AL8017" s="19"/>
    </row>
    <row r="8018" spans="1:38" s="11" customFormat="1" x14ac:dyDescent="0.25">
      <c r="A8018" s="3"/>
      <c r="F8018" s="19"/>
      <c r="G8018" s="19"/>
      <c r="N8018" s="19"/>
      <c r="P8018" s="19"/>
      <c r="AL8018" s="19"/>
    </row>
    <row r="8019" spans="1:38" s="11" customFormat="1" x14ac:dyDescent="0.25">
      <c r="A8019" s="3"/>
      <c r="F8019" s="19"/>
      <c r="G8019" s="19"/>
      <c r="N8019" s="19"/>
      <c r="P8019" s="19"/>
      <c r="AL8019" s="19"/>
    </row>
    <row r="8020" spans="1:38" s="11" customFormat="1" x14ac:dyDescent="0.25">
      <c r="A8020" s="3"/>
      <c r="F8020" s="19"/>
      <c r="G8020" s="19"/>
      <c r="N8020" s="19"/>
      <c r="P8020" s="19"/>
      <c r="AL8020" s="19"/>
    </row>
    <row r="8021" spans="1:38" s="11" customFormat="1" x14ac:dyDescent="0.25">
      <c r="A8021" s="3"/>
      <c r="F8021" s="19"/>
      <c r="G8021" s="19"/>
      <c r="N8021" s="19"/>
      <c r="P8021" s="19"/>
      <c r="AL8021" s="19"/>
    </row>
    <row r="8022" spans="1:38" s="11" customFormat="1" x14ac:dyDescent="0.25">
      <c r="A8022" s="3"/>
      <c r="F8022" s="19"/>
      <c r="G8022" s="19"/>
      <c r="N8022" s="19"/>
      <c r="P8022" s="19"/>
      <c r="AL8022" s="19"/>
    </row>
    <row r="8023" spans="1:38" s="11" customFormat="1" x14ac:dyDescent="0.25">
      <c r="A8023" s="3"/>
      <c r="F8023" s="19"/>
      <c r="G8023" s="19"/>
      <c r="N8023" s="19"/>
      <c r="P8023" s="19"/>
      <c r="AL8023" s="19"/>
    </row>
    <row r="8024" spans="1:38" s="11" customFormat="1" x14ac:dyDescent="0.25">
      <c r="A8024" s="3"/>
      <c r="F8024" s="19"/>
      <c r="G8024" s="19"/>
      <c r="N8024" s="19"/>
      <c r="P8024" s="19"/>
      <c r="AL8024" s="19"/>
    </row>
    <row r="8025" spans="1:38" s="11" customFormat="1" x14ac:dyDescent="0.25">
      <c r="A8025" s="3"/>
      <c r="F8025" s="19"/>
      <c r="G8025" s="19"/>
      <c r="N8025" s="19"/>
      <c r="P8025" s="19"/>
      <c r="AL8025" s="19"/>
    </row>
    <row r="8026" spans="1:38" s="11" customFormat="1" x14ac:dyDescent="0.25">
      <c r="A8026" s="3"/>
      <c r="F8026" s="19"/>
      <c r="G8026" s="19"/>
      <c r="N8026" s="19"/>
      <c r="P8026" s="19"/>
      <c r="AL8026" s="19"/>
    </row>
    <row r="8027" spans="1:38" s="11" customFormat="1" x14ac:dyDescent="0.25">
      <c r="A8027" s="3"/>
      <c r="F8027" s="19"/>
      <c r="G8027" s="19"/>
      <c r="N8027" s="19"/>
      <c r="P8027" s="19"/>
      <c r="AL8027" s="19"/>
    </row>
    <row r="8028" spans="1:38" s="11" customFormat="1" x14ac:dyDescent="0.25">
      <c r="A8028" s="3"/>
      <c r="F8028" s="19"/>
      <c r="G8028" s="19"/>
      <c r="N8028" s="19"/>
      <c r="P8028" s="19"/>
      <c r="AL8028" s="19"/>
    </row>
    <row r="8029" spans="1:38" s="11" customFormat="1" x14ac:dyDescent="0.25">
      <c r="A8029" s="3"/>
      <c r="F8029" s="19"/>
      <c r="G8029" s="19"/>
      <c r="N8029" s="19"/>
      <c r="P8029" s="19"/>
      <c r="AL8029" s="19"/>
    </row>
    <row r="8030" spans="1:38" s="11" customFormat="1" x14ac:dyDescent="0.25">
      <c r="A8030" s="3"/>
      <c r="F8030" s="19"/>
      <c r="G8030" s="19"/>
      <c r="N8030" s="19"/>
      <c r="P8030" s="19"/>
      <c r="AL8030" s="19"/>
    </row>
    <row r="8031" spans="1:38" s="11" customFormat="1" x14ac:dyDescent="0.25">
      <c r="A8031" s="3"/>
      <c r="F8031" s="19"/>
      <c r="G8031" s="19"/>
      <c r="N8031" s="19"/>
      <c r="P8031" s="19"/>
      <c r="AL8031" s="19"/>
    </row>
    <row r="8032" spans="1:38" s="11" customFormat="1" x14ac:dyDescent="0.25">
      <c r="A8032" s="3"/>
      <c r="F8032" s="19"/>
      <c r="G8032" s="19"/>
      <c r="N8032" s="19"/>
      <c r="P8032" s="19"/>
      <c r="AL8032" s="19"/>
    </row>
    <row r="8033" spans="1:38" s="11" customFormat="1" x14ac:dyDescent="0.25">
      <c r="A8033" s="3"/>
      <c r="F8033" s="19"/>
      <c r="G8033" s="19"/>
      <c r="N8033" s="19"/>
      <c r="P8033" s="19"/>
      <c r="AL8033" s="19"/>
    </row>
    <row r="8034" spans="1:38" s="11" customFormat="1" x14ac:dyDescent="0.25">
      <c r="A8034" s="3"/>
      <c r="F8034" s="19"/>
      <c r="G8034" s="19"/>
      <c r="N8034" s="19"/>
      <c r="P8034" s="19"/>
      <c r="AL8034" s="19"/>
    </row>
    <row r="8035" spans="1:38" s="11" customFormat="1" x14ac:dyDescent="0.25">
      <c r="A8035" s="3"/>
      <c r="F8035" s="19"/>
      <c r="G8035" s="19"/>
      <c r="N8035" s="19"/>
      <c r="P8035" s="19"/>
      <c r="AL8035" s="19"/>
    </row>
    <row r="8036" spans="1:38" s="11" customFormat="1" x14ac:dyDescent="0.25">
      <c r="A8036" s="3"/>
      <c r="F8036" s="19"/>
      <c r="G8036" s="19"/>
      <c r="N8036" s="19"/>
      <c r="P8036" s="19"/>
      <c r="AL8036" s="19"/>
    </row>
    <row r="8037" spans="1:38" s="11" customFormat="1" x14ac:dyDescent="0.25">
      <c r="A8037" s="3"/>
      <c r="F8037" s="19"/>
      <c r="G8037" s="19"/>
      <c r="N8037" s="19"/>
      <c r="P8037" s="19"/>
      <c r="AL8037" s="19"/>
    </row>
    <row r="8038" spans="1:38" s="11" customFormat="1" x14ac:dyDescent="0.25">
      <c r="A8038" s="3"/>
      <c r="F8038" s="19"/>
      <c r="G8038" s="19"/>
      <c r="N8038" s="19"/>
      <c r="P8038" s="19"/>
      <c r="AL8038" s="19"/>
    </row>
    <row r="8039" spans="1:38" s="11" customFormat="1" x14ac:dyDescent="0.25">
      <c r="A8039" s="3"/>
      <c r="F8039" s="19"/>
      <c r="G8039" s="19"/>
      <c r="N8039" s="19"/>
      <c r="P8039" s="19"/>
      <c r="AL8039" s="19"/>
    </row>
    <row r="8040" spans="1:38" s="11" customFormat="1" x14ac:dyDescent="0.25">
      <c r="A8040" s="3"/>
      <c r="F8040" s="19"/>
      <c r="G8040" s="19"/>
      <c r="N8040" s="19"/>
      <c r="P8040" s="19"/>
      <c r="AL8040" s="19"/>
    </row>
    <row r="8041" spans="1:38" s="11" customFormat="1" x14ac:dyDescent="0.25">
      <c r="A8041" s="3"/>
      <c r="F8041" s="19"/>
      <c r="G8041" s="19"/>
      <c r="N8041" s="19"/>
      <c r="P8041" s="19"/>
      <c r="AL8041" s="19"/>
    </row>
    <row r="8042" spans="1:38" s="11" customFormat="1" x14ac:dyDescent="0.25">
      <c r="A8042" s="3"/>
      <c r="F8042" s="19"/>
      <c r="G8042" s="19"/>
      <c r="N8042" s="19"/>
      <c r="P8042" s="19"/>
      <c r="AL8042" s="19"/>
    </row>
    <row r="8043" spans="1:38" s="11" customFormat="1" x14ac:dyDescent="0.25">
      <c r="A8043" s="3"/>
      <c r="F8043" s="19"/>
      <c r="G8043" s="19"/>
      <c r="N8043" s="19"/>
      <c r="P8043" s="19"/>
      <c r="AL8043" s="19"/>
    </row>
    <row r="8044" spans="1:38" s="11" customFormat="1" x14ac:dyDescent="0.25">
      <c r="A8044" s="3"/>
      <c r="F8044" s="19"/>
      <c r="G8044" s="19"/>
      <c r="N8044" s="19"/>
      <c r="P8044" s="19"/>
      <c r="AL8044" s="19"/>
    </row>
    <row r="8045" spans="1:38" s="11" customFormat="1" x14ac:dyDescent="0.25">
      <c r="A8045" s="3"/>
      <c r="F8045" s="19"/>
      <c r="G8045" s="19"/>
      <c r="N8045" s="19"/>
      <c r="P8045" s="19"/>
      <c r="AL8045" s="19"/>
    </row>
    <row r="8046" spans="1:38" s="11" customFormat="1" x14ac:dyDescent="0.25">
      <c r="A8046" s="3"/>
      <c r="F8046" s="19"/>
      <c r="G8046" s="19"/>
      <c r="N8046" s="19"/>
      <c r="P8046" s="19"/>
      <c r="AL8046" s="19"/>
    </row>
    <row r="8047" spans="1:38" s="11" customFormat="1" x14ac:dyDescent="0.25">
      <c r="A8047" s="3"/>
      <c r="F8047" s="19"/>
      <c r="G8047" s="19"/>
      <c r="N8047" s="19"/>
      <c r="P8047" s="19"/>
      <c r="AL8047" s="19"/>
    </row>
    <row r="8048" spans="1:38" s="11" customFormat="1" x14ac:dyDescent="0.25">
      <c r="A8048" s="3"/>
      <c r="F8048" s="19"/>
      <c r="G8048" s="19"/>
      <c r="N8048" s="19"/>
      <c r="P8048" s="19"/>
      <c r="AL8048" s="19"/>
    </row>
    <row r="8049" spans="1:38" s="11" customFormat="1" x14ac:dyDescent="0.25">
      <c r="A8049" s="3"/>
      <c r="F8049" s="19"/>
      <c r="G8049" s="19"/>
      <c r="N8049" s="19"/>
      <c r="P8049" s="19"/>
      <c r="AL8049" s="19"/>
    </row>
    <row r="8050" spans="1:38" s="11" customFormat="1" x14ac:dyDescent="0.25">
      <c r="A8050" s="3"/>
      <c r="F8050" s="19"/>
      <c r="G8050" s="19"/>
      <c r="N8050" s="19"/>
      <c r="P8050" s="19"/>
      <c r="AL8050" s="19"/>
    </row>
    <row r="8051" spans="1:38" s="11" customFormat="1" x14ac:dyDescent="0.25">
      <c r="A8051" s="3"/>
      <c r="F8051" s="19"/>
      <c r="G8051" s="19"/>
      <c r="N8051" s="19"/>
      <c r="P8051" s="19"/>
      <c r="AL8051" s="19"/>
    </row>
    <row r="8052" spans="1:38" s="11" customFormat="1" x14ac:dyDescent="0.25">
      <c r="A8052" s="3"/>
      <c r="F8052" s="19"/>
      <c r="G8052" s="19"/>
      <c r="N8052" s="19"/>
      <c r="P8052" s="19"/>
      <c r="AL8052" s="19"/>
    </row>
    <row r="8053" spans="1:38" s="11" customFormat="1" x14ac:dyDescent="0.25">
      <c r="A8053" s="3"/>
      <c r="F8053" s="19"/>
      <c r="G8053" s="19"/>
      <c r="N8053" s="19"/>
      <c r="P8053" s="19"/>
      <c r="AL8053" s="19"/>
    </row>
    <row r="8054" spans="1:38" s="11" customFormat="1" x14ac:dyDescent="0.25">
      <c r="A8054" s="3"/>
      <c r="F8054" s="19"/>
      <c r="G8054" s="19"/>
      <c r="N8054" s="19"/>
      <c r="P8054" s="19"/>
      <c r="AL8054" s="19"/>
    </row>
    <row r="8055" spans="1:38" s="11" customFormat="1" x14ac:dyDescent="0.25">
      <c r="A8055" s="3"/>
      <c r="F8055" s="19"/>
      <c r="G8055" s="19"/>
      <c r="N8055" s="19"/>
      <c r="P8055" s="19"/>
      <c r="AL8055" s="19"/>
    </row>
    <row r="8056" spans="1:38" s="11" customFormat="1" x14ac:dyDescent="0.25">
      <c r="A8056" s="3"/>
      <c r="F8056" s="19"/>
      <c r="G8056" s="19"/>
      <c r="N8056" s="19"/>
      <c r="P8056" s="19"/>
      <c r="AL8056" s="19"/>
    </row>
    <row r="8057" spans="1:38" s="11" customFormat="1" x14ac:dyDescent="0.25">
      <c r="A8057" s="3"/>
      <c r="F8057" s="19"/>
      <c r="G8057" s="19"/>
      <c r="N8057" s="19"/>
      <c r="P8057" s="19"/>
      <c r="AL8057" s="19"/>
    </row>
    <row r="8058" spans="1:38" s="11" customFormat="1" x14ac:dyDescent="0.25">
      <c r="A8058" s="3"/>
      <c r="F8058" s="19"/>
      <c r="G8058" s="19"/>
      <c r="N8058" s="19"/>
      <c r="P8058" s="19"/>
      <c r="AL8058" s="19"/>
    </row>
    <row r="8059" spans="1:38" s="11" customFormat="1" x14ac:dyDescent="0.25">
      <c r="A8059" s="3"/>
      <c r="F8059" s="19"/>
      <c r="G8059" s="19"/>
      <c r="N8059" s="19"/>
      <c r="P8059" s="19"/>
      <c r="AL8059" s="19"/>
    </row>
    <row r="8060" spans="1:38" s="11" customFormat="1" x14ac:dyDescent="0.25">
      <c r="A8060" s="3"/>
      <c r="F8060" s="19"/>
      <c r="G8060" s="19"/>
      <c r="N8060" s="19"/>
      <c r="P8060" s="19"/>
      <c r="AL8060" s="19"/>
    </row>
    <row r="8061" spans="1:38" s="11" customFormat="1" x14ac:dyDescent="0.25">
      <c r="A8061" s="3"/>
      <c r="F8061" s="19"/>
      <c r="G8061" s="19"/>
      <c r="N8061" s="19"/>
      <c r="P8061" s="19"/>
      <c r="AL8061" s="19"/>
    </row>
    <row r="8062" spans="1:38" s="11" customFormat="1" x14ac:dyDescent="0.25">
      <c r="A8062" s="3"/>
      <c r="F8062" s="19"/>
      <c r="G8062" s="19"/>
      <c r="N8062" s="19"/>
      <c r="P8062" s="19"/>
      <c r="AL8062" s="19"/>
    </row>
    <row r="8063" spans="1:38" s="11" customFormat="1" x14ac:dyDescent="0.25">
      <c r="A8063" s="3"/>
      <c r="F8063" s="19"/>
      <c r="G8063" s="19"/>
      <c r="N8063" s="19"/>
      <c r="P8063" s="19"/>
      <c r="AL8063" s="19"/>
    </row>
    <row r="8064" spans="1:38" s="11" customFormat="1" x14ac:dyDescent="0.25">
      <c r="A8064" s="3"/>
      <c r="F8064" s="19"/>
      <c r="G8064" s="19"/>
      <c r="N8064" s="19"/>
      <c r="P8064" s="19"/>
      <c r="AL8064" s="19"/>
    </row>
    <row r="8065" spans="1:38" s="11" customFormat="1" x14ac:dyDescent="0.25">
      <c r="A8065" s="3"/>
      <c r="F8065" s="19"/>
      <c r="G8065" s="19"/>
      <c r="N8065" s="19"/>
      <c r="P8065" s="19"/>
      <c r="AL8065" s="19"/>
    </row>
    <row r="8066" spans="1:38" s="11" customFormat="1" x14ac:dyDescent="0.25">
      <c r="A8066" s="3"/>
      <c r="F8066" s="19"/>
      <c r="G8066" s="19"/>
      <c r="N8066" s="19"/>
      <c r="P8066" s="19"/>
      <c r="AL8066" s="19"/>
    </row>
    <row r="8067" spans="1:38" s="11" customFormat="1" x14ac:dyDescent="0.25">
      <c r="A8067" s="3"/>
      <c r="F8067" s="19"/>
      <c r="G8067" s="19"/>
      <c r="N8067" s="19"/>
      <c r="P8067" s="19"/>
      <c r="AL8067" s="19"/>
    </row>
    <row r="8068" spans="1:38" s="11" customFormat="1" x14ac:dyDescent="0.25">
      <c r="A8068" s="3"/>
      <c r="F8068" s="19"/>
      <c r="G8068" s="19"/>
      <c r="N8068" s="19"/>
      <c r="P8068" s="19"/>
      <c r="AL8068" s="19"/>
    </row>
    <row r="8069" spans="1:38" s="11" customFormat="1" x14ac:dyDescent="0.25">
      <c r="A8069" s="3"/>
      <c r="F8069" s="19"/>
      <c r="G8069" s="19"/>
      <c r="N8069" s="19"/>
      <c r="P8069" s="19"/>
      <c r="AL8069" s="19"/>
    </row>
    <row r="8070" spans="1:38" s="11" customFormat="1" x14ac:dyDescent="0.25">
      <c r="A8070" s="3"/>
      <c r="F8070" s="19"/>
      <c r="G8070" s="19"/>
      <c r="N8070" s="19"/>
      <c r="P8070" s="19"/>
      <c r="AL8070" s="19"/>
    </row>
    <row r="8071" spans="1:38" s="11" customFormat="1" x14ac:dyDescent="0.25">
      <c r="A8071" s="3"/>
      <c r="F8071" s="19"/>
      <c r="G8071" s="19"/>
      <c r="N8071" s="19"/>
      <c r="P8071" s="19"/>
      <c r="AL8071" s="19"/>
    </row>
    <row r="8072" spans="1:38" s="11" customFormat="1" x14ac:dyDescent="0.25">
      <c r="A8072" s="3"/>
      <c r="F8072" s="19"/>
      <c r="G8072" s="19"/>
      <c r="N8072" s="19"/>
      <c r="P8072" s="19"/>
      <c r="AL8072" s="19"/>
    </row>
    <row r="8073" spans="1:38" s="11" customFormat="1" x14ac:dyDescent="0.25">
      <c r="A8073" s="3"/>
      <c r="F8073" s="19"/>
      <c r="G8073" s="19"/>
      <c r="N8073" s="19"/>
      <c r="P8073" s="19"/>
      <c r="AL8073" s="19"/>
    </row>
    <row r="8074" spans="1:38" s="11" customFormat="1" x14ac:dyDescent="0.25">
      <c r="A8074" s="3"/>
      <c r="F8074" s="19"/>
      <c r="G8074" s="19"/>
      <c r="N8074" s="19"/>
      <c r="P8074" s="19"/>
      <c r="AL8074" s="19"/>
    </row>
    <row r="8075" spans="1:38" s="11" customFormat="1" x14ac:dyDescent="0.25">
      <c r="A8075" s="3"/>
      <c r="F8075" s="19"/>
      <c r="G8075" s="19"/>
      <c r="N8075" s="19"/>
      <c r="P8075" s="19"/>
      <c r="AL8075" s="19"/>
    </row>
    <row r="8076" spans="1:38" s="11" customFormat="1" x14ac:dyDescent="0.25">
      <c r="A8076" s="3"/>
      <c r="F8076" s="19"/>
      <c r="G8076" s="19"/>
      <c r="N8076" s="19"/>
      <c r="P8076" s="19"/>
      <c r="AL8076" s="19"/>
    </row>
    <row r="8077" spans="1:38" s="11" customFormat="1" x14ac:dyDescent="0.25">
      <c r="A8077" s="3"/>
      <c r="F8077" s="19"/>
      <c r="G8077" s="19"/>
      <c r="N8077" s="19"/>
      <c r="P8077" s="19"/>
      <c r="AL8077" s="19"/>
    </row>
    <row r="8078" spans="1:38" s="11" customFormat="1" x14ac:dyDescent="0.25">
      <c r="A8078" s="3"/>
      <c r="F8078" s="19"/>
      <c r="G8078" s="19"/>
      <c r="N8078" s="19"/>
      <c r="P8078" s="19"/>
      <c r="AL8078" s="19"/>
    </row>
    <row r="8079" spans="1:38" s="11" customFormat="1" x14ac:dyDescent="0.25">
      <c r="A8079" s="3"/>
      <c r="F8079" s="19"/>
      <c r="G8079" s="19"/>
      <c r="N8079" s="19"/>
      <c r="P8079" s="19"/>
      <c r="AL8079" s="19"/>
    </row>
    <row r="8080" spans="1:38" s="11" customFormat="1" x14ac:dyDescent="0.25">
      <c r="A8080" s="3"/>
      <c r="F8080" s="19"/>
      <c r="G8080" s="19"/>
      <c r="N8080" s="19"/>
      <c r="P8080" s="19"/>
      <c r="AL8080" s="19"/>
    </row>
    <row r="8081" spans="1:38" s="11" customFormat="1" x14ac:dyDescent="0.25">
      <c r="A8081" s="3"/>
      <c r="F8081" s="19"/>
      <c r="G8081" s="19"/>
      <c r="N8081" s="19"/>
      <c r="P8081" s="19"/>
      <c r="AL8081" s="19"/>
    </row>
    <row r="8082" spans="1:38" s="11" customFormat="1" x14ac:dyDescent="0.25">
      <c r="A8082" s="3"/>
      <c r="F8082" s="19"/>
      <c r="G8082" s="19"/>
      <c r="N8082" s="19"/>
      <c r="P8082" s="19"/>
      <c r="AL8082" s="19"/>
    </row>
    <row r="8083" spans="1:38" s="11" customFormat="1" x14ac:dyDescent="0.25">
      <c r="A8083" s="3"/>
      <c r="F8083" s="19"/>
      <c r="G8083" s="19"/>
      <c r="N8083" s="19"/>
      <c r="P8083" s="19"/>
      <c r="AL8083" s="19"/>
    </row>
    <row r="8084" spans="1:38" s="11" customFormat="1" x14ac:dyDescent="0.25">
      <c r="A8084" s="3"/>
      <c r="F8084" s="19"/>
      <c r="G8084" s="19"/>
      <c r="N8084" s="19"/>
      <c r="P8084" s="19"/>
      <c r="AL8084" s="19"/>
    </row>
    <row r="8085" spans="1:38" s="11" customFormat="1" x14ac:dyDescent="0.25">
      <c r="A8085" s="3"/>
      <c r="F8085" s="19"/>
      <c r="G8085" s="19"/>
      <c r="N8085" s="19"/>
      <c r="P8085" s="19"/>
      <c r="AL8085" s="19"/>
    </row>
    <row r="8086" spans="1:38" s="11" customFormat="1" x14ac:dyDescent="0.25">
      <c r="A8086" s="3"/>
      <c r="F8086" s="19"/>
      <c r="G8086" s="19"/>
      <c r="N8086" s="19"/>
      <c r="P8086" s="19"/>
      <c r="AL8086" s="19"/>
    </row>
    <row r="8087" spans="1:38" s="11" customFormat="1" x14ac:dyDescent="0.25">
      <c r="A8087" s="3"/>
      <c r="F8087" s="19"/>
      <c r="G8087" s="19"/>
      <c r="N8087" s="19"/>
      <c r="P8087" s="19"/>
      <c r="AL8087" s="19"/>
    </row>
    <row r="8088" spans="1:38" s="11" customFormat="1" x14ac:dyDescent="0.25">
      <c r="A8088" s="3"/>
      <c r="F8088" s="19"/>
      <c r="G8088" s="19"/>
      <c r="N8088" s="19"/>
      <c r="P8088" s="19"/>
      <c r="AL8088" s="19"/>
    </row>
    <row r="8089" spans="1:38" s="11" customFormat="1" x14ac:dyDescent="0.25">
      <c r="A8089" s="3"/>
      <c r="F8089" s="19"/>
      <c r="G8089" s="19"/>
      <c r="N8089" s="19"/>
      <c r="P8089" s="19"/>
      <c r="AL8089" s="19"/>
    </row>
    <row r="8090" spans="1:38" s="11" customFormat="1" x14ac:dyDescent="0.25">
      <c r="A8090" s="3"/>
      <c r="F8090" s="19"/>
      <c r="G8090" s="19"/>
      <c r="N8090" s="19"/>
      <c r="P8090" s="19"/>
      <c r="AL8090" s="19"/>
    </row>
    <row r="8091" spans="1:38" s="11" customFormat="1" x14ac:dyDescent="0.25">
      <c r="A8091" s="3"/>
      <c r="F8091" s="19"/>
      <c r="G8091" s="19"/>
      <c r="N8091" s="19"/>
      <c r="P8091" s="19"/>
      <c r="AL8091" s="19"/>
    </row>
    <row r="8092" spans="1:38" s="11" customFormat="1" x14ac:dyDescent="0.25">
      <c r="A8092" s="3"/>
      <c r="F8092" s="19"/>
      <c r="G8092" s="19"/>
      <c r="N8092" s="19"/>
      <c r="P8092" s="19"/>
      <c r="AL8092" s="19"/>
    </row>
    <row r="8093" spans="1:38" s="11" customFormat="1" x14ac:dyDescent="0.25">
      <c r="A8093" s="3"/>
      <c r="F8093" s="19"/>
      <c r="G8093" s="19"/>
      <c r="N8093" s="19"/>
      <c r="P8093" s="19"/>
      <c r="AL8093" s="19"/>
    </row>
    <row r="8094" spans="1:38" s="11" customFormat="1" x14ac:dyDescent="0.25">
      <c r="A8094" s="3"/>
      <c r="F8094" s="19"/>
      <c r="G8094" s="19"/>
      <c r="N8094" s="19"/>
      <c r="P8094" s="19"/>
      <c r="AL8094" s="19"/>
    </row>
    <row r="8095" spans="1:38" s="11" customFormat="1" x14ac:dyDescent="0.25">
      <c r="A8095" s="3"/>
      <c r="F8095" s="19"/>
      <c r="G8095" s="19"/>
      <c r="N8095" s="19"/>
      <c r="P8095" s="19"/>
      <c r="AL8095" s="19"/>
    </row>
    <row r="8096" spans="1:38" s="11" customFormat="1" x14ac:dyDescent="0.25">
      <c r="A8096" s="3"/>
      <c r="F8096" s="19"/>
      <c r="G8096" s="19"/>
      <c r="N8096" s="19"/>
      <c r="P8096" s="19"/>
      <c r="AL8096" s="19"/>
    </row>
    <row r="8097" spans="1:38" s="11" customFormat="1" x14ac:dyDescent="0.25">
      <c r="A8097" s="3"/>
      <c r="F8097" s="19"/>
      <c r="G8097" s="19"/>
      <c r="N8097" s="19"/>
      <c r="P8097" s="19"/>
      <c r="AL8097" s="19"/>
    </row>
    <row r="8098" spans="1:38" s="11" customFormat="1" x14ac:dyDescent="0.25">
      <c r="A8098" s="3"/>
      <c r="F8098" s="19"/>
      <c r="G8098" s="19"/>
      <c r="N8098" s="19"/>
      <c r="P8098" s="19"/>
      <c r="AL8098" s="19"/>
    </row>
    <row r="8099" spans="1:38" s="11" customFormat="1" x14ac:dyDescent="0.25">
      <c r="A8099" s="3"/>
      <c r="F8099" s="19"/>
      <c r="G8099" s="19"/>
      <c r="N8099" s="19"/>
      <c r="P8099" s="19"/>
      <c r="AL8099" s="19"/>
    </row>
    <row r="8100" spans="1:38" s="11" customFormat="1" x14ac:dyDescent="0.25">
      <c r="A8100" s="3"/>
      <c r="F8100" s="19"/>
      <c r="G8100" s="19"/>
      <c r="N8100" s="19"/>
      <c r="P8100" s="19"/>
      <c r="AL8100" s="19"/>
    </row>
    <row r="8101" spans="1:38" s="11" customFormat="1" x14ac:dyDescent="0.25">
      <c r="A8101" s="3"/>
      <c r="F8101" s="19"/>
      <c r="G8101" s="19"/>
      <c r="N8101" s="19"/>
      <c r="P8101" s="19"/>
      <c r="AL8101" s="19"/>
    </row>
    <row r="8102" spans="1:38" s="11" customFormat="1" x14ac:dyDescent="0.25">
      <c r="A8102" s="3"/>
      <c r="F8102" s="19"/>
      <c r="G8102" s="19"/>
      <c r="N8102" s="19"/>
      <c r="P8102" s="19"/>
      <c r="AL8102" s="19"/>
    </row>
    <row r="8103" spans="1:38" s="11" customFormat="1" x14ac:dyDescent="0.25">
      <c r="A8103" s="3"/>
      <c r="F8103" s="19"/>
      <c r="G8103" s="19"/>
      <c r="N8103" s="19"/>
      <c r="P8103" s="19"/>
      <c r="AL8103" s="19"/>
    </row>
    <row r="8104" spans="1:38" s="11" customFormat="1" x14ac:dyDescent="0.25">
      <c r="A8104" s="3"/>
      <c r="F8104" s="19"/>
      <c r="G8104" s="19"/>
      <c r="N8104" s="19"/>
      <c r="P8104" s="19"/>
      <c r="AL8104" s="19"/>
    </row>
    <row r="8105" spans="1:38" s="11" customFormat="1" x14ac:dyDescent="0.25">
      <c r="A8105" s="3"/>
      <c r="F8105" s="19"/>
      <c r="G8105" s="19"/>
      <c r="N8105" s="19"/>
      <c r="P8105" s="19"/>
      <c r="AL8105" s="19"/>
    </row>
    <row r="8106" spans="1:38" s="11" customFormat="1" x14ac:dyDescent="0.25">
      <c r="A8106" s="3"/>
      <c r="F8106" s="19"/>
      <c r="G8106" s="19"/>
      <c r="N8106" s="19"/>
      <c r="P8106" s="19"/>
      <c r="AL8106" s="19"/>
    </row>
    <row r="8107" spans="1:38" s="11" customFormat="1" x14ac:dyDescent="0.25">
      <c r="A8107" s="3"/>
      <c r="F8107" s="19"/>
      <c r="G8107" s="19"/>
      <c r="N8107" s="19"/>
      <c r="P8107" s="19"/>
      <c r="AL8107" s="19"/>
    </row>
    <row r="8108" spans="1:38" s="11" customFormat="1" x14ac:dyDescent="0.25">
      <c r="A8108" s="3"/>
      <c r="F8108" s="19"/>
      <c r="G8108" s="19"/>
      <c r="N8108" s="19"/>
      <c r="P8108" s="19"/>
      <c r="AL8108" s="19"/>
    </row>
    <row r="8109" spans="1:38" s="11" customFormat="1" x14ac:dyDescent="0.25">
      <c r="A8109" s="3"/>
      <c r="F8109" s="19"/>
      <c r="G8109" s="19"/>
      <c r="N8109" s="19"/>
      <c r="P8109" s="19"/>
      <c r="AL8109" s="19"/>
    </row>
    <row r="8110" spans="1:38" s="11" customFormat="1" x14ac:dyDescent="0.25">
      <c r="A8110" s="3"/>
      <c r="F8110" s="19"/>
      <c r="G8110" s="19"/>
      <c r="N8110" s="19"/>
      <c r="P8110" s="19"/>
      <c r="AL8110" s="19"/>
    </row>
    <row r="8111" spans="1:38" s="11" customFormat="1" x14ac:dyDescent="0.25">
      <c r="A8111" s="3"/>
      <c r="F8111" s="19"/>
      <c r="G8111" s="19"/>
      <c r="N8111" s="19"/>
      <c r="P8111" s="19"/>
      <c r="AL8111" s="19"/>
    </row>
    <row r="8112" spans="1:38" s="11" customFormat="1" x14ac:dyDescent="0.25">
      <c r="A8112" s="3"/>
      <c r="F8112" s="19"/>
      <c r="G8112" s="19"/>
      <c r="N8112" s="19"/>
      <c r="P8112" s="19"/>
      <c r="AL8112" s="19"/>
    </row>
    <row r="8113" spans="1:38" s="11" customFormat="1" x14ac:dyDescent="0.25">
      <c r="A8113" s="3"/>
      <c r="F8113" s="19"/>
      <c r="G8113" s="19"/>
      <c r="N8113" s="19"/>
      <c r="P8113" s="19"/>
      <c r="AL8113" s="19"/>
    </row>
    <row r="8114" spans="1:38" s="11" customFormat="1" x14ac:dyDescent="0.25">
      <c r="A8114" s="3"/>
      <c r="F8114" s="19"/>
      <c r="G8114" s="19"/>
      <c r="N8114" s="19"/>
      <c r="P8114" s="19"/>
      <c r="AL8114" s="19"/>
    </row>
    <row r="8115" spans="1:38" s="11" customFormat="1" x14ac:dyDescent="0.25">
      <c r="A8115" s="3"/>
      <c r="F8115" s="19"/>
      <c r="G8115" s="19"/>
      <c r="N8115" s="19"/>
      <c r="P8115" s="19"/>
      <c r="AL8115" s="19"/>
    </row>
    <row r="8116" spans="1:38" s="11" customFormat="1" x14ac:dyDescent="0.25">
      <c r="A8116" s="3"/>
      <c r="F8116" s="19"/>
      <c r="G8116" s="19"/>
      <c r="N8116" s="19"/>
      <c r="P8116" s="19"/>
      <c r="AL8116" s="19"/>
    </row>
    <row r="8117" spans="1:38" s="11" customFormat="1" x14ac:dyDescent="0.25">
      <c r="A8117" s="3"/>
      <c r="F8117" s="19"/>
      <c r="G8117" s="19"/>
      <c r="N8117" s="19"/>
      <c r="P8117" s="19"/>
      <c r="AL8117" s="19"/>
    </row>
    <row r="8118" spans="1:38" s="11" customFormat="1" x14ac:dyDescent="0.25">
      <c r="A8118" s="3"/>
      <c r="F8118" s="19"/>
      <c r="G8118" s="19"/>
      <c r="N8118" s="19"/>
      <c r="P8118" s="19"/>
      <c r="AL8118" s="19"/>
    </row>
    <row r="8119" spans="1:38" s="11" customFormat="1" x14ac:dyDescent="0.25">
      <c r="A8119" s="3"/>
      <c r="F8119" s="19"/>
      <c r="G8119" s="19"/>
      <c r="N8119" s="19"/>
      <c r="P8119" s="19"/>
      <c r="AL8119" s="19"/>
    </row>
    <row r="8120" spans="1:38" s="11" customFormat="1" x14ac:dyDescent="0.25">
      <c r="A8120" s="3"/>
      <c r="F8120" s="19"/>
      <c r="G8120" s="19"/>
      <c r="N8120" s="19"/>
      <c r="P8120" s="19"/>
      <c r="AL8120" s="19"/>
    </row>
    <row r="8121" spans="1:38" s="11" customFormat="1" x14ac:dyDescent="0.25">
      <c r="A8121" s="3"/>
      <c r="F8121" s="19"/>
      <c r="G8121" s="19"/>
      <c r="N8121" s="19"/>
      <c r="P8121" s="19"/>
      <c r="AL8121" s="19"/>
    </row>
    <row r="8122" spans="1:38" s="11" customFormat="1" x14ac:dyDescent="0.25">
      <c r="A8122" s="3"/>
      <c r="F8122" s="19"/>
      <c r="G8122" s="19"/>
      <c r="N8122" s="19"/>
      <c r="P8122" s="19"/>
      <c r="AL8122" s="19"/>
    </row>
    <row r="8123" spans="1:38" s="11" customFormat="1" x14ac:dyDescent="0.25">
      <c r="A8123" s="3"/>
      <c r="F8123" s="19"/>
      <c r="G8123" s="19"/>
      <c r="N8123" s="19"/>
      <c r="P8123" s="19"/>
      <c r="AL8123" s="19"/>
    </row>
    <row r="8124" spans="1:38" s="11" customFormat="1" x14ac:dyDescent="0.25">
      <c r="A8124" s="3"/>
      <c r="F8124" s="19"/>
      <c r="G8124" s="19"/>
      <c r="N8124" s="19"/>
      <c r="P8124" s="19"/>
      <c r="AL8124" s="19"/>
    </row>
    <row r="8125" spans="1:38" s="11" customFormat="1" x14ac:dyDescent="0.25">
      <c r="A8125" s="3"/>
      <c r="F8125" s="19"/>
      <c r="G8125" s="19"/>
      <c r="N8125" s="19"/>
      <c r="P8125" s="19"/>
      <c r="AL8125" s="19"/>
    </row>
    <row r="8126" spans="1:38" s="11" customFormat="1" x14ac:dyDescent="0.25">
      <c r="A8126" s="3"/>
      <c r="F8126" s="19"/>
      <c r="G8126" s="19"/>
      <c r="N8126" s="19"/>
      <c r="P8126" s="19"/>
      <c r="AL8126" s="19"/>
    </row>
    <row r="8127" spans="1:38" s="11" customFormat="1" x14ac:dyDescent="0.25">
      <c r="A8127" s="3"/>
      <c r="F8127" s="19"/>
      <c r="G8127" s="19"/>
      <c r="N8127" s="19"/>
      <c r="P8127" s="19"/>
      <c r="AL8127" s="19"/>
    </row>
    <row r="8128" spans="1:38" s="11" customFormat="1" x14ac:dyDescent="0.25">
      <c r="A8128" s="3"/>
      <c r="F8128" s="19"/>
      <c r="G8128" s="19"/>
      <c r="N8128" s="19"/>
      <c r="P8128" s="19"/>
      <c r="AL8128" s="19"/>
    </row>
    <row r="8129" spans="1:38" s="11" customFormat="1" x14ac:dyDescent="0.25">
      <c r="A8129" s="3"/>
      <c r="F8129" s="19"/>
      <c r="G8129" s="19"/>
      <c r="N8129" s="19"/>
      <c r="P8129" s="19"/>
      <c r="AL8129" s="19"/>
    </row>
    <row r="8130" spans="1:38" s="11" customFormat="1" x14ac:dyDescent="0.25">
      <c r="A8130" s="3"/>
      <c r="F8130" s="19"/>
      <c r="G8130" s="19"/>
      <c r="N8130" s="19"/>
      <c r="P8130" s="19"/>
      <c r="AL8130" s="19"/>
    </row>
    <row r="8131" spans="1:38" s="11" customFormat="1" x14ac:dyDescent="0.25">
      <c r="A8131" s="3"/>
      <c r="F8131" s="19"/>
      <c r="G8131" s="19"/>
      <c r="N8131" s="19"/>
      <c r="P8131" s="19"/>
      <c r="AL8131" s="19"/>
    </row>
    <row r="8132" spans="1:38" s="11" customFormat="1" x14ac:dyDescent="0.25">
      <c r="A8132" s="3"/>
      <c r="F8132" s="19"/>
      <c r="G8132" s="19"/>
      <c r="N8132" s="19"/>
      <c r="P8132" s="19"/>
      <c r="AL8132" s="19"/>
    </row>
    <row r="8133" spans="1:38" s="11" customFormat="1" x14ac:dyDescent="0.25">
      <c r="A8133" s="3"/>
      <c r="F8133" s="19"/>
      <c r="G8133" s="19"/>
      <c r="N8133" s="19"/>
      <c r="P8133" s="19"/>
      <c r="AL8133" s="19"/>
    </row>
    <row r="8134" spans="1:38" s="11" customFormat="1" x14ac:dyDescent="0.25">
      <c r="A8134" s="3"/>
      <c r="F8134" s="19"/>
      <c r="G8134" s="19"/>
      <c r="N8134" s="19"/>
      <c r="P8134" s="19"/>
      <c r="AL8134" s="19"/>
    </row>
    <row r="8135" spans="1:38" s="11" customFormat="1" x14ac:dyDescent="0.25">
      <c r="A8135" s="3"/>
      <c r="F8135" s="19"/>
      <c r="G8135" s="19"/>
      <c r="N8135" s="19"/>
      <c r="P8135" s="19"/>
      <c r="AL8135" s="19"/>
    </row>
    <row r="8136" spans="1:38" s="11" customFormat="1" x14ac:dyDescent="0.25">
      <c r="A8136" s="3"/>
      <c r="F8136" s="19"/>
      <c r="G8136" s="19"/>
      <c r="N8136" s="19"/>
      <c r="P8136" s="19"/>
      <c r="AL8136" s="19"/>
    </row>
    <row r="8137" spans="1:38" s="11" customFormat="1" x14ac:dyDescent="0.25">
      <c r="A8137" s="3"/>
      <c r="F8137" s="19"/>
      <c r="G8137" s="19"/>
      <c r="N8137" s="19"/>
      <c r="P8137" s="19"/>
      <c r="AL8137" s="19"/>
    </row>
    <row r="8138" spans="1:38" s="11" customFormat="1" x14ac:dyDescent="0.25">
      <c r="A8138" s="3"/>
      <c r="F8138" s="19"/>
      <c r="G8138" s="19"/>
      <c r="N8138" s="19"/>
      <c r="P8138" s="19"/>
      <c r="AL8138" s="19"/>
    </row>
    <row r="8139" spans="1:38" s="11" customFormat="1" x14ac:dyDescent="0.25">
      <c r="A8139" s="3"/>
      <c r="F8139" s="19"/>
      <c r="G8139" s="19"/>
      <c r="N8139" s="19"/>
      <c r="P8139" s="19"/>
      <c r="AL8139" s="19"/>
    </row>
    <row r="8140" spans="1:38" s="11" customFormat="1" x14ac:dyDescent="0.25">
      <c r="A8140" s="3"/>
      <c r="F8140" s="19"/>
      <c r="G8140" s="19"/>
      <c r="N8140" s="19"/>
      <c r="P8140" s="19"/>
      <c r="AL8140" s="19"/>
    </row>
    <row r="8141" spans="1:38" s="11" customFormat="1" x14ac:dyDescent="0.25">
      <c r="A8141" s="3"/>
      <c r="F8141" s="19"/>
      <c r="G8141" s="19"/>
      <c r="N8141" s="19"/>
      <c r="P8141" s="19"/>
      <c r="AL8141" s="19"/>
    </row>
    <row r="8142" spans="1:38" s="11" customFormat="1" x14ac:dyDescent="0.25">
      <c r="A8142" s="3"/>
      <c r="F8142" s="19"/>
      <c r="G8142" s="19"/>
      <c r="N8142" s="19"/>
      <c r="P8142" s="19"/>
      <c r="AL8142" s="19"/>
    </row>
    <row r="8143" spans="1:38" s="11" customFormat="1" x14ac:dyDescent="0.25">
      <c r="A8143" s="3"/>
      <c r="F8143" s="19"/>
      <c r="G8143" s="19"/>
      <c r="N8143" s="19"/>
      <c r="P8143" s="19"/>
      <c r="AL8143" s="19"/>
    </row>
    <row r="8144" spans="1:38" s="11" customFormat="1" x14ac:dyDescent="0.25">
      <c r="A8144" s="3"/>
      <c r="F8144" s="19"/>
      <c r="G8144" s="19"/>
      <c r="N8144" s="19"/>
      <c r="P8144" s="19"/>
      <c r="AL8144" s="19"/>
    </row>
    <row r="8145" spans="1:38" s="11" customFormat="1" x14ac:dyDescent="0.25">
      <c r="A8145" s="3"/>
      <c r="F8145" s="19"/>
      <c r="G8145" s="19"/>
      <c r="N8145" s="19"/>
      <c r="P8145" s="19"/>
      <c r="AL8145" s="19"/>
    </row>
    <row r="8146" spans="1:38" s="11" customFormat="1" x14ac:dyDescent="0.25">
      <c r="A8146" s="3"/>
      <c r="F8146" s="19"/>
      <c r="G8146" s="19"/>
      <c r="N8146" s="19"/>
      <c r="P8146" s="19"/>
      <c r="AL8146" s="19"/>
    </row>
    <row r="8147" spans="1:38" s="11" customFormat="1" x14ac:dyDescent="0.25">
      <c r="A8147" s="3"/>
      <c r="F8147" s="19"/>
      <c r="G8147" s="19"/>
      <c r="N8147" s="19"/>
      <c r="P8147" s="19"/>
      <c r="AL8147" s="19"/>
    </row>
    <row r="8148" spans="1:38" s="11" customFormat="1" x14ac:dyDescent="0.25">
      <c r="A8148" s="3"/>
      <c r="F8148" s="19"/>
      <c r="G8148" s="19"/>
      <c r="N8148" s="19"/>
      <c r="P8148" s="19"/>
      <c r="AL8148" s="19"/>
    </row>
    <row r="8149" spans="1:38" s="11" customFormat="1" x14ac:dyDescent="0.25">
      <c r="A8149" s="3"/>
      <c r="F8149" s="19"/>
      <c r="G8149" s="19"/>
      <c r="N8149" s="19"/>
      <c r="P8149" s="19"/>
      <c r="AL8149" s="19"/>
    </row>
    <row r="8150" spans="1:38" s="11" customFormat="1" x14ac:dyDescent="0.25">
      <c r="A8150" s="3"/>
      <c r="F8150" s="19"/>
      <c r="G8150" s="19"/>
      <c r="N8150" s="19"/>
      <c r="P8150" s="19"/>
      <c r="AL8150" s="19"/>
    </row>
    <row r="8151" spans="1:38" s="11" customFormat="1" x14ac:dyDescent="0.25">
      <c r="A8151" s="3"/>
      <c r="F8151" s="19"/>
      <c r="G8151" s="19"/>
      <c r="N8151" s="19"/>
      <c r="P8151" s="19"/>
      <c r="AL8151" s="19"/>
    </row>
    <row r="8152" spans="1:38" s="11" customFormat="1" x14ac:dyDescent="0.25">
      <c r="A8152" s="3"/>
      <c r="F8152" s="19"/>
      <c r="G8152" s="19"/>
      <c r="N8152" s="19"/>
      <c r="P8152" s="19"/>
      <c r="AL8152" s="19"/>
    </row>
    <row r="8153" spans="1:38" s="11" customFormat="1" x14ac:dyDescent="0.25">
      <c r="A8153" s="3"/>
      <c r="F8153" s="19"/>
      <c r="G8153" s="19"/>
      <c r="N8153" s="19"/>
      <c r="P8153" s="19"/>
      <c r="AL8153" s="19"/>
    </row>
    <row r="8154" spans="1:38" s="11" customFormat="1" x14ac:dyDescent="0.25">
      <c r="A8154" s="3"/>
      <c r="F8154" s="19"/>
      <c r="G8154" s="19"/>
      <c r="N8154" s="19"/>
      <c r="P8154" s="19"/>
      <c r="AL8154" s="19"/>
    </row>
    <row r="8155" spans="1:38" s="11" customFormat="1" x14ac:dyDescent="0.25">
      <c r="A8155" s="3"/>
      <c r="F8155" s="19"/>
      <c r="G8155" s="19"/>
      <c r="N8155" s="19"/>
      <c r="P8155" s="19"/>
      <c r="AL8155" s="19"/>
    </row>
    <row r="8156" spans="1:38" s="11" customFormat="1" x14ac:dyDescent="0.25">
      <c r="A8156" s="3"/>
      <c r="F8156" s="19"/>
      <c r="G8156" s="19"/>
      <c r="N8156" s="19"/>
      <c r="P8156" s="19"/>
      <c r="AL8156" s="19"/>
    </row>
    <row r="8157" spans="1:38" s="11" customFormat="1" x14ac:dyDescent="0.25">
      <c r="A8157" s="3"/>
      <c r="F8157" s="19"/>
      <c r="G8157" s="19"/>
      <c r="N8157" s="19"/>
      <c r="P8157" s="19"/>
      <c r="AL8157" s="19"/>
    </row>
    <row r="8158" spans="1:38" s="11" customFormat="1" x14ac:dyDescent="0.25">
      <c r="A8158" s="3"/>
      <c r="F8158" s="19"/>
      <c r="G8158" s="19"/>
      <c r="N8158" s="19"/>
      <c r="P8158" s="19"/>
      <c r="AL8158" s="19"/>
    </row>
    <row r="8159" spans="1:38" s="11" customFormat="1" x14ac:dyDescent="0.25">
      <c r="A8159" s="3"/>
      <c r="F8159" s="19"/>
      <c r="G8159" s="19"/>
      <c r="N8159" s="19"/>
      <c r="P8159" s="19"/>
      <c r="AL8159" s="19"/>
    </row>
    <row r="8160" spans="1:38" s="11" customFormat="1" x14ac:dyDescent="0.25">
      <c r="A8160" s="3"/>
      <c r="F8160" s="19"/>
      <c r="G8160" s="19"/>
      <c r="N8160" s="19"/>
      <c r="P8160" s="19"/>
      <c r="AL8160" s="19"/>
    </row>
    <row r="8161" spans="1:38" s="11" customFormat="1" x14ac:dyDescent="0.25">
      <c r="A8161" s="3"/>
      <c r="F8161" s="19"/>
      <c r="G8161" s="19"/>
      <c r="N8161" s="19"/>
      <c r="P8161" s="19"/>
      <c r="AL8161" s="19"/>
    </row>
    <row r="8162" spans="1:38" s="11" customFormat="1" x14ac:dyDescent="0.25">
      <c r="A8162" s="3"/>
      <c r="F8162" s="19"/>
      <c r="G8162" s="19"/>
      <c r="N8162" s="19"/>
      <c r="P8162" s="19"/>
      <c r="AL8162" s="19"/>
    </row>
    <row r="8163" spans="1:38" s="11" customFormat="1" x14ac:dyDescent="0.25">
      <c r="A8163" s="3"/>
      <c r="F8163" s="19"/>
      <c r="G8163" s="19"/>
      <c r="N8163" s="19"/>
      <c r="P8163" s="19"/>
      <c r="AL8163" s="19"/>
    </row>
    <row r="8164" spans="1:38" s="11" customFormat="1" x14ac:dyDescent="0.25">
      <c r="A8164" s="3"/>
      <c r="F8164" s="19"/>
      <c r="G8164" s="19"/>
      <c r="N8164" s="19"/>
      <c r="P8164" s="19"/>
      <c r="AL8164" s="19"/>
    </row>
    <row r="8165" spans="1:38" s="11" customFormat="1" x14ac:dyDescent="0.25">
      <c r="A8165" s="3"/>
      <c r="F8165" s="19"/>
      <c r="G8165" s="19"/>
      <c r="N8165" s="19"/>
      <c r="P8165" s="19"/>
      <c r="AL8165" s="19"/>
    </row>
    <row r="8166" spans="1:38" s="11" customFormat="1" x14ac:dyDescent="0.25">
      <c r="A8166" s="3"/>
      <c r="F8166" s="19"/>
      <c r="G8166" s="19"/>
      <c r="N8166" s="19"/>
      <c r="P8166" s="19"/>
      <c r="AL8166" s="19"/>
    </row>
    <row r="8167" spans="1:38" s="11" customFormat="1" x14ac:dyDescent="0.25">
      <c r="A8167" s="3"/>
      <c r="F8167" s="19"/>
      <c r="G8167" s="19"/>
      <c r="N8167" s="19"/>
      <c r="P8167" s="19"/>
      <c r="AL8167" s="19"/>
    </row>
    <row r="8168" spans="1:38" s="11" customFormat="1" x14ac:dyDescent="0.25">
      <c r="A8168" s="3"/>
      <c r="F8168" s="19"/>
      <c r="G8168" s="19"/>
      <c r="N8168" s="19"/>
      <c r="P8168" s="19"/>
      <c r="AL8168" s="19"/>
    </row>
    <row r="8169" spans="1:38" s="11" customFormat="1" x14ac:dyDescent="0.25">
      <c r="A8169" s="3"/>
      <c r="F8169" s="19"/>
      <c r="G8169" s="19"/>
      <c r="N8169" s="19"/>
      <c r="P8169" s="19"/>
      <c r="AL8169" s="19"/>
    </row>
    <row r="8170" spans="1:38" s="11" customFormat="1" x14ac:dyDescent="0.25">
      <c r="A8170" s="3"/>
      <c r="F8170" s="19"/>
      <c r="G8170" s="19"/>
      <c r="N8170" s="19"/>
      <c r="P8170" s="19"/>
      <c r="AL8170" s="19"/>
    </row>
    <row r="8171" spans="1:38" s="11" customFormat="1" x14ac:dyDescent="0.25">
      <c r="A8171" s="3"/>
      <c r="F8171" s="19"/>
      <c r="G8171" s="19"/>
      <c r="N8171" s="19"/>
      <c r="P8171" s="19"/>
      <c r="AL8171" s="19"/>
    </row>
    <row r="8172" spans="1:38" s="11" customFormat="1" x14ac:dyDescent="0.25">
      <c r="A8172" s="3"/>
      <c r="F8172" s="19"/>
      <c r="G8172" s="19"/>
      <c r="N8172" s="19"/>
      <c r="P8172" s="19"/>
      <c r="AL8172" s="19"/>
    </row>
    <row r="8173" spans="1:38" s="11" customFormat="1" x14ac:dyDescent="0.25">
      <c r="A8173" s="3"/>
      <c r="F8173" s="19"/>
      <c r="G8173" s="19"/>
      <c r="N8173" s="19"/>
      <c r="P8173" s="19"/>
      <c r="AL8173" s="19"/>
    </row>
    <row r="8174" spans="1:38" s="11" customFormat="1" x14ac:dyDescent="0.25">
      <c r="A8174" s="3"/>
      <c r="F8174" s="19"/>
      <c r="G8174" s="19"/>
      <c r="N8174" s="19"/>
      <c r="P8174" s="19"/>
      <c r="AL8174" s="19"/>
    </row>
    <row r="8175" spans="1:38" s="11" customFormat="1" x14ac:dyDescent="0.25">
      <c r="A8175" s="3"/>
      <c r="F8175" s="19"/>
      <c r="G8175" s="19"/>
      <c r="N8175" s="19"/>
      <c r="P8175" s="19"/>
      <c r="AL8175" s="19"/>
    </row>
    <row r="8176" spans="1:38" s="11" customFormat="1" x14ac:dyDescent="0.25">
      <c r="A8176" s="3"/>
      <c r="F8176" s="19"/>
      <c r="G8176" s="19"/>
      <c r="N8176" s="19"/>
      <c r="P8176" s="19"/>
      <c r="AL8176" s="19"/>
    </row>
    <row r="8177" spans="1:38" s="11" customFormat="1" x14ac:dyDescent="0.25">
      <c r="A8177" s="3"/>
      <c r="F8177" s="19"/>
      <c r="G8177" s="19"/>
      <c r="N8177" s="19"/>
      <c r="P8177" s="19"/>
      <c r="AL8177" s="19"/>
    </row>
    <row r="8178" spans="1:38" s="11" customFormat="1" x14ac:dyDescent="0.25">
      <c r="A8178" s="3"/>
      <c r="F8178" s="19"/>
      <c r="G8178" s="19"/>
      <c r="N8178" s="19"/>
      <c r="P8178" s="19"/>
      <c r="AL8178" s="19"/>
    </row>
    <row r="8179" spans="1:38" s="11" customFormat="1" x14ac:dyDescent="0.25">
      <c r="A8179" s="3"/>
      <c r="F8179" s="19"/>
      <c r="G8179" s="19"/>
      <c r="N8179" s="19"/>
      <c r="P8179" s="19"/>
      <c r="AL8179" s="19"/>
    </row>
    <row r="8180" spans="1:38" s="11" customFormat="1" x14ac:dyDescent="0.25">
      <c r="A8180" s="3"/>
      <c r="F8180" s="19"/>
      <c r="G8180" s="19"/>
      <c r="N8180" s="19"/>
      <c r="P8180" s="19"/>
      <c r="AL8180" s="19"/>
    </row>
    <row r="8181" spans="1:38" s="11" customFormat="1" x14ac:dyDescent="0.25">
      <c r="A8181" s="3"/>
      <c r="F8181" s="19"/>
      <c r="G8181" s="19"/>
      <c r="N8181" s="19"/>
      <c r="P8181" s="19"/>
      <c r="AL8181" s="19"/>
    </row>
    <row r="8182" spans="1:38" s="11" customFormat="1" x14ac:dyDescent="0.25">
      <c r="A8182" s="3"/>
      <c r="F8182" s="19"/>
      <c r="G8182" s="19"/>
      <c r="N8182" s="19"/>
      <c r="P8182" s="19"/>
      <c r="AL8182" s="19"/>
    </row>
    <row r="8183" spans="1:38" s="11" customFormat="1" x14ac:dyDescent="0.25">
      <c r="A8183" s="3"/>
      <c r="F8183" s="19"/>
      <c r="G8183" s="19"/>
      <c r="N8183" s="19"/>
      <c r="P8183" s="19"/>
      <c r="AL8183" s="19"/>
    </row>
    <row r="8184" spans="1:38" s="11" customFormat="1" x14ac:dyDescent="0.25">
      <c r="A8184" s="3"/>
      <c r="F8184" s="19"/>
      <c r="G8184" s="19"/>
      <c r="N8184" s="19"/>
      <c r="P8184" s="19"/>
      <c r="AL8184" s="19"/>
    </row>
    <row r="8185" spans="1:38" s="11" customFormat="1" x14ac:dyDescent="0.25">
      <c r="A8185" s="3"/>
      <c r="F8185" s="19"/>
      <c r="G8185" s="19"/>
      <c r="N8185" s="19"/>
      <c r="P8185" s="19"/>
      <c r="AL8185" s="19"/>
    </row>
    <row r="8186" spans="1:38" s="11" customFormat="1" x14ac:dyDescent="0.25">
      <c r="A8186" s="3"/>
      <c r="F8186" s="19"/>
      <c r="G8186" s="19"/>
      <c r="N8186" s="19"/>
      <c r="P8186" s="19"/>
      <c r="AL8186" s="19"/>
    </row>
    <row r="8187" spans="1:38" s="11" customFormat="1" x14ac:dyDescent="0.25">
      <c r="A8187" s="3"/>
      <c r="F8187" s="19"/>
      <c r="G8187" s="19"/>
      <c r="N8187" s="19"/>
      <c r="P8187" s="19"/>
      <c r="AL8187" s="19"/>
    </row>
    <row r="8188" spans="1:38" s="11" customFormat="1" x14ac:dyDescent="0.25">
      <c r="A8188" s="3"/>
      <c r="F8188" s="19"/>
      <c r="G8188" s="19"/>
      <c r="N8188" s="19"/>
      <c r="P8188" s="19"/>
      <c r="AL8188" s="19"/>
    </row>
    <row r="8189" spans="1:38" s="11" customFormat="1" x14ac:dyDescent="0.25">
      <c r="A8189" s="3"/>
      <c r="F8189" s="19"/>
      <c r="G8189" s="19"/>
      <c r="N8189" s="19"/>
      <c r="P8189" s="19"/>
      <c r="AL8189" s="19"/>
    </row>
    <row r="8190" spans="1:38" s="11" customFormat="1" x14ac:dyDescent="0.25">
      <c r="A8190" s="3"/>
      <c r="F8190" s="19"/>
      <c r="G8190" s="19"/>
      <c r="N8190" s="19"/>
      <c r="P8190" s="19"/>
      <c r="AL8190" s="19"/>
    </row>
    <row r="8191" spans="1:38" s="11" customFormat="1" x14ac:dyDescent="0.25">
      <c r="A8191" s="3"/>
      <c r="F8191" s="19"/>
      <c r="G8191" s="19"/>
      <c r="N8191" s="19"/>
      <c r="P8191" s="19"/>
      <c r="AL8191" s="19"/>
    </row>
    <row r="8192" spans="1:38" s="11" customFormat="1" x14ac:dyDescent="0.25">
      <c r="A8192" s="3"/>
      <c r="F8192" s="19"/>
      <c r="G8192" s="19"/>
      <c r="N8192" s="19"/>
      <c r="P8192" s="19"/>
      <c r="AL8192" s="19"/>
    </row>
    <row r="8193" spans="1:38" s="11" customFormat="1" x14ac:dyDescent="0.25">
      <c r="A8193" s="3"/>
      <c r="F8193" s="19"/>
      <c r="G8193" s="19"/>
      <c r="N8193" s="19"/>
      <c r="P8193" s="19"/>
      <c r="AL8193" s="19"/>
    </row>
    <row r="8194" spans="1:38" s="11" customFormat="1" x14ac:dyDescent="0.25">
      <c r="A8194" s="3"/>
      <c r="F8194" s="19"/>
      <c r="G8194" s="19"/>
      <c r="N8194" s="19"/>
      <c r="P8194" s="19"/>
      <c r="AL8194" s="19"/>
    </row>
    <row r="8195" spans="1:38" s="11" customFormat="1" x14ac:dyDescent="0.25">
      <c r="A8195" s="3"/>
      <c r="F8195" s="19"/>
      <c r="G8195" s="19"/>
      <c r="N8195" s="19"/>
      <c r="P8195" s="19"/>
      <c r="AL8195" s="19"/>
    </row>
    <row r="8196" spans="1:38" s="11" customFormat="1" x14ac:dyDescent="0.25">
      <c r="A8196" s="3"/>
      <c r="F8196" s="19"/>
      <c r="G8196" s="19"/>
      <c r="N8196" s="19"/>
      <c r="P8196" s="19"/>
      <c r="AL8196" s="19"/>
    </row>
    <row r="8197" spans="1:38" s="11" customFormat="1" x14ac:dyDescent="0.25">
      <c r="A8197" s="3"/>
      <c r="F8197" s="19"/>
      <c r="G8197" s="19"/>
      <c r="N8197" s="19"/>
      <c r="P8197" s="19"/>
      <c r="AL8197" s="19"/>
    </row>
    <row r="8198" spans="1:38" s="11" customFormat="1" x14ac:dyDescent="0.25">
      <c r="A8198" s="3"/>
      <c r="F8198" s="19"/>
      <c r="G8198" s="19"/>
      <c r="N8198" s="19"/>
      <c r="P8198" s="19"/>
      <c r="AL8198" s="19"/>
    </row>
    <row r="8199" spans="1:38" s="11" customFormat="1" x14ac:dyDescent="0.25">
      <c r="A8199" s="3"/>
      <c r="F8199" s="19"/>
      <c r="G8199" s="19"/>
      <c r="N8199" s="19"/>
      <c r="P8199" s="19"/>
      <c r="AL8199" s="19"/>
    </row>
    <row r="8200" spans="1:38" s="11" customFormat="1" x14ac:dyDescent="0.25">
      <c r="A8200" s="3"/>
      <c r="F8200" s="19"/>
      <c r="G8200" s="19"/>
      <c r="N8200" s="19"/>
      <c r="P8200" s="19"/>
      <c r="AL8200" s="19"/>
    </row>
    <row r="8201" spans="1:38" s="11" customFormat="1" x14ac:dyDescent="0.25">
      <c r="A8201" s="3"/>
      <c r="F8201" s="19"/>
      <c r="G8201" s="19"/>
      <c r="N8201" s="19"/>
      <c r="P8201" s="19"/>
      <c r="AL8201" s="19"/>
    </row>
    <row r="8202" spans="1:38" s="11" customFormat="1" x14ac:dyDescent="0.25">
      <c r="A8202" s="3"/>
      <c r="F8202" s="19"/>
      <c r="G8202" s="19"/>
      <c r="N8202" s="19"/>
      <c r="P8202" s="19"/>
      <c r="AL8202" s="19"/>
    </row>
    <row r="8203" spans="1:38" s="11" customFormat="1" x14ac:dyDescent="0.25">
      <c r="A8203" s="3"/>
      <c r="F8203" s="19"/>
      <c r="G8203" s="19"/>
      <c r="N8203" s="19"/>
      <c r="P8203" s="19"/>
      <c r="AL8203" s="19"/>
    </row>
    <row r="8204" spans="1:38" s="11" customFormat="1" x14ac:dyDescent="0.25">
      <c r="A8204" s="3"/>
      <c r="F8204" s="19"/>
      <c r="G8204" s="19"/>
      <c r="N8204" s="19"/>
      <c r="P8204" s="19"/>
      <c r="AL8204" s="19"/>
    </row>
    <row r="8205" spans="1:38" s="11" customFormat="1" x14ac:dyDescent="0.25">
      <c r="A8205" s="3"/>
      <c r="F8205" s="19"/>
      <c r="G8205" s="19"/>
      <c r="N8205" s="19"/>
      <c r="P8205" s="19"/>
      <c r="AL8205" s="19"/>
    </row>
    <row r="8206" spans="1:38" s="11" customFormat="1" x14ac:dyDescent="0.25">
      <c r="A8206" s="3"/>
      <c r="F8206" s="19"/>
      <c r="G8206" s="19"/>
      <c r="N8206" s="19"/>
      <c r="P8206" s="19"/>
      <c r="AL8206" s="19"/>
    </row>
    <row r="8207" spans="1:38" s="11" customFormat="1" x14ac:dyDescent="0.25">
      <c r="A8207" s="3"/>
      <c r="F8207" s="19"/>
      <c r="G8207" s="19"/>
      <c r="N8207" s="19"/>
      <c r="P8207" s="19"/>
      <c r="AL8207" s="19"/>
    </row>
    <row r="8208" spans="1:38" s="11" customFormat="1" x14ac:dyDescent="0.25">
      <c r="A8208" s="3"/>
      <c r="F8208" s="19"/>
      <c r="G8208" s="19"/>
      <c r="N8208" s="19"/>
      <c r="P8208" s="19"/>
      <c r="AL8208" s="19"/>
    </row>
    <row r="8209" spans="1:38" s="11" customFormat="1" x14ac:dyDescent="0.25">
      <c r="A8209" s="3"/>
      <c r="F8209" s="19"/>
      <c r="G8209" s="19"/>
      <c r="N8209" s="19"/>
      <c r="P8209" s="19"/>
      <c r="AL8209" s="19"/>
    </row>
    <row r="8210" spans="1:38" s="11" customFormat="1" x14ac:dyDescent="0.25">
      <c r="A8210" s="3"/>
      <c r="F8210" s="19"/>
      <c r="G8210" s="19"/>
      <c r="N8210" s="19"/>
      <c r="P8210" s="19"/>
      <c r="AL8210" s="19"/>
    </row>
    <row r="8211" spans="1:38" s="11" customFormat="1" x14ac:dyDescent="0.25">
      <c r="A8211" s="3"/>
      <c r="F8211" s="19"/>
      <c r="G8211" s="19"/>
      <c r="N8211" s="19"/>
      <c r="P8211" s="19"/>
      <c r="AL8211" s="19"/>
    </row>
    <row r="8212" spans="1:38" s="11" customFormat="1" x14ac:dyDescent="0.25">
      <c r="A8212" s="3"/>
      <c r="F8212" s="19"/>
      <c r="G8212" s="19"/>
      <c r="N8212" s="19"/>
      <c r="P8212" s="19"/>
      <c r="AL8212" s="19"/>
    </row>
    <row r="8213" spans="1:38" s="11" customFormat="1" x14ac:dyDescent="0.25">
      <c r="A8213" s="3"/>
      <c r="F8213" s="19"/>
      <c r="G8213" s="19"/>
      <c r="N8213" s="19"/>
      <c r="P8213" s="19"/>
      <c r="AL8213" s="19"/>
    </row>
    <row r="8214" spans="1:38" s="11" customFormat="1" x14ac:dyDescent="0.25">
      <c r="A8214" s="3"/>
      <c r="F8214" s="19"/>
      <c r="G8214" s="19"/>
      <c r="N8214" s="19"/>
      <c r="P8214" s="19"/>
      <c r="AL8214" s="19"/>
    </row>
    <row r="8215" spans="1:38" s="11" customFormat="1" x14ac:dyDescent="0.25">
      <c r="A8215" s="3"/>
      <c r="F8215" s="19"/>
      <c r="G8215" s="19"/>
      <c r="N8215" s="19"/>
      <c r="P8215" s="19"/>
      <c r="AL8215" s="19"/>
    </row>
    <row r="8216" spans="1:38" s="11" customFormat="1" x14ac:dyDescent="0.25">
      <c r="A8216" s="3"/>
      <c r="F8216" s="19"/>
      <c r="G8216" s="19"/>
      <c r="N8216" s="19"/>
      <c r="P8216" s="19"/>
      <c r="AL8216" s="19"/>
    </row>
    <row r="8217" spans="1:38" s="11" customFormat="1" x14ac:dyDescent="0.25">
      <c r="A8217" s="3"/>
      <c r="F8217" s="19"/>
      <c r="G8217" s="19"/>
      <c r="N8217" s="19"/>
      <c r="P8217" s="19"/>
      <c r="AL8217" s="19"/>
    </row>
    <row r="8218" spans="1:38" s="11" customFormat="1" x14ac:dyDescent="0.25">
      <c r="A8218" s="3"/>
      <c r="F8218" s="19"/>
      <c r="G8218" s="19"/>
      <c r="N8218" s="19"/>
      <c r="P8218" s="19"/>
      <c r="AL8218" s="19"/>
    </row>
    <row r="8219" spans="1:38" s="11" customFormat="1" x14ac:dyDescent="0.25">
      <c r="A8219" s="3"/>
      <c r="F8219" s="19"/>
      <c r="G8219" s="19"/>
      <c r="N8219" s="19"/>
      <c r="P8219" s="19"/>
      <c r="AL8219" s="19"/>
    </row>
    <row r="8220" spans="1:38" s="11" customFormat="1" x14ac:dyDescent="0.25">
      <c r="A8220" s="3"/>
      <c r="F8220" s="19"/>
      <c r="G8220" s="19"/>
      <c r="N8220" s="19"/>
      <c r="P8220" s="19"/>
      <c r="AL8220" s="19"/>
    </row>
    <row r="8221" spans="1:38" s="11" customFormat="1" x14ac:dyDescent="0.25">
      <c r="A8221" s="3"/>
      <c r="F8221" s="19"/>
      <c r="G8221" s="19"/>
      <c r="N8221" s="19"/>
      <c r="P8221" s="19"/>
      <c r="AL8221" s="19"/>
    </row>
    <row r="8222" spans="1:38" s="11" customFormat="1" x14ac:dyDescent="0.25">
      <c r="A8222" s="3"/>
      <c r="F8222" s="19"/>
      <c r="G8222" s="19"/>
      <c r="N8222" s="19"/>
      <c r="P8222" s="19"/>
      <c r="AL8222" s="19"/>
    </row>
    <row r="8223" spans="1:38" s="11" customFormat="1" x14ac:dyDescent="0.25">
      <c r="A8223" s="3"/>
      <c r="F8223" s="19"/>
      <c r="G8223" s="19"/>
      <c r="N8223" s="19"/>
      <c r="P8223" s="19"/>
      <c r="AL8223" s="19"/>
    </row>
    <row r="8224" spans="1:38" s="11" customFormat="1" x14ac:dyDescent="0.25">
      <c r="A8224" s="3"/>
      <c r="F8224" s="19"/>
      <c r="G8224" s="19"/>
      <c r="N8224" s="19"/>
      <c r="P8224" s="19"/>
      <c r="AL8224" s="19"/>
    </row>
    <row r="8225" spans="1:38" s="11" customFormat="1" x14ac:dyDescent="0.25">
      <c r="A8225" s="3"/>
      <c r="F8225" s="19"/>
      <c r="G8225" s="19"/>
      <c r="N8225" s="19"/>
      <c r="P8225" s="19"/>
      <c r="AL8225" s="19"/>
    </row>
    <row r="8226" spans="1:38" s="11" customFormat="1" x14ac:dyDescent="0.25">
      <c r="A8226" s="3"/>
      <c r="F8226" s="19"/>
      <c r="G8226" s="19"/>
      <c r="N8226" s="19"/>
      <c r="P8226" s="19"/>
      <c r="AL8226" s="19"/>
    </row>
    <row r="8227" spans="1:38" s="11" customFormat="1" x14ac:dyDescent="0.25">
      <c r="A8227" s="3"/>
      <c r="F8227" s="19"/>
      <c r="G8227" s="19"/>
      <c r="N8227" s="19"/>
      <c r="P8227" s="19"/>
      <c r="AL8227" s="19"/>
    </row>
    <row r="8228" spans="1:38" s="11" customFormat="1" x14ac:dyDescent="0.25">
      <c r="A8228" s="3"/>
      <c r="F8228" s="19"/>
      <c r="G8228" s="19"/>
      <c r="N8228" s="19"/>
      <c r="P8228" s="19"/>
      <c r="AL8228" s="19"/>
    </row>
    <row r="8229" spans="1:38" s="11" customFormat="1" x14ac:dyDescent="0.25">
      <c r="A8229" s="3"/>
      <c r="F8229" s="19"/>
      <c r="G8229" s="19"/>
      <c r="N8229" s="19"/>
      <c r="P8229" s="19"/>
      <c r="AL8229" s="19"/>
    </row>
    <row r="8230" spans="1:38" s="11" customFormat="1" x14ac:dyDescent="0.25">
      <c r="A8230" s="3"/>
      <c r="F8230" s="19"/>
      <c r="G8230" s="19"/>
      <c r="N8230" s="19"/>
      <c r="P8230" s="19"/>
      <c r="AL8230" s="19"/>
    </row>
    <row r="8231" spans="1:38" s="11" customFormat="1" x14ac:dyDescent="0.25">
      <c r="A8231" s="3"/>
      <c r="F8231" s="19"/>
      <c r="G8231" s="19"/>
      <c r="N8231" s="19"/>
      <c r="P8231" s="19"/>
      <c r="AL8231" s="19"/>
    </row>
    <row r="8232" spans="1:38" s="11" customFormat="1" x14ac:dyDescent="0.25">
      <c r="A8232" s="3"/>
      <c r="F8232" s="19"/>
      <c r="G8232" s="19"/>
      <c r="N8232" s="19"/>
      <c r="P8232" s="19"/>
      <c r="AL8232" s="19"/>
    </row>
    <row r="8233" spans="1:38" s="11" customFormat="1" x14ac:dyDescent="0.25">
      <c r="A8233" s="3"/>
      <c r="F8233" s="19"/>
      <c r="G8233" s="19"/>
      <c r="N8233" s="19"/>
      <c r="P8233" s="19"/>
      <c r="AL8233" s="19"/>
    </row>
    <row r="8234" spans="1:38" s="11" customFormat="1" x14ac:dyDescent="0.25">
      <c r="A8234" s="3"/>
      <c r="F8234" s="19"/>
      <c r="G8234" s="19"/>
      <c r="N8234" s="19"/>
      <c r="P8234" s="19"/>
      <c r="AL8234" s="19"/>
    </row>
    <row r="8235" spans="1:38" s="11" customFormat="1" x14ac:dyDescent="0.25">
      <c r="A8235" s="3"/>
      <c r="F8235" s="19"/>
      <c r="G8235" s="19"/>
      <c r="N8235" s="19"/>
      <c r="P8235" s="19"/>
      <c r="AL8235" s="19"/>
    </row>
    <row r="8236" spans="1:38" s="11" customFormat="1" x14ac:dyDescent="0.25">
      <c r="A8236" s="3"/>
      <c r="F8236" s="19"/>
      <c r="G8236" s="19"/>
      <c r="N8236" s="19"/>
      <c r="P8236" s="19"/>
      <c r="AL8236" s="19"/>
    </row>
    <row r="8237" spans="1:38" s="11" customFormat="1" x14ac:dyDescent="0.25">
      <c r="A8237" s="3"/>
      <c r="F8237" s="19"/>
      <c r="G8237" s="19"/>
      <c r="N8237" s="19"/>
      <c r="P8237" s="19"/>
      <c r="AL8237" s="19"/>
    </row>
    <row r="8238" spans="1:38" s="11" customFormat="1" x14ac:dyDescent="0.25">
      <c r="A8238" s="3"/>
      <c r="F8238" s="19"/>
      <c r="G8238" s="19"/>
      <c r="N8238" s="19"/>
      <c r="P8238" s="19"/>
      <c r="AL8238" s="19"/>
    </row>
    <row r="8239" spans="1:38" s="11" customFormat="1" x14ac:dyDescent="0.25">
      <c r="A8239" s="3"/>
      <c r="F8239" s="19"/>
      <c r="G8239" s="19"/>
      <c r="N8239" s="19"/>
      <c r="P8239" s="19"/>
      <c r="AL8239" s="19"/>
    </row>
    <row r="8240" spans="1:38" s="11" customFormat="1" x14ac:dyDescent="0.25">
      <c r="A8240" s="3"/>
      <c r="F8240" s="19"/>
      <c r="G8240" s="19"/>
      <c r="N8240" s="19"/>
      <c r="P8240" s="19"/>
      <c r="AL8240" s="19"/>
    </row>
    <row r="8241" spans="1:38" s="11" customFormat="1" x14ac:dyDescent="0.25">
      <c r="A8241" s="3"/>
      <c r="F8241" s="19"/>
      <c r="G8241" s="19"/>
      <c r="N8241" s="19"/>
      <c r="P8241" s="19"/>
      <c r="AL8241" s="19"/>
    </row>
    <row r="8242" spans="1:38" s="11" customFormat="1" x14ac:dyDescent="0.25">
      <c r="A8242" s="3"/>
      <c r="F8242" s="19"/>
      <c r="G8242" s="19"/>
      <c r="N8242" s="19"/>
      <c r="P8242" s="19"/>
      <c r="AL8242" s="19"/>
    </row>
    <row r="8243" spans="1:38" s="11" customFormat="1" x14ac:dyDescent="0.25">
      <c r="A8243" s="3"/>
      <c r="F8243" s="19"/>
      <c r="G8243" s="19"/>
      <c r="N8243" s="19"/>
      <c r="P8243" s="19"/>
      <c r="AL8243" s="19"/>
    </row>
    <row r="8244" spans="1:38" s="11" customFormat="1" x14ac:dyDescent="0.25">
      <c r="A8244" s="3"/>
      <c r="F8244" s="19"/>
      <c r="G8244" s="19"/>
      <c r="N8244" s="19"/>
      <c r="P8244" s="19"/>
      <c r="AL8244" s="19"/>
    </row>
    <row r="8245" spans="1:38" s="11" customFormat="1" x14ac:dyDescent="0.25">
      <c r="A8245" s="3"/>
      <c r="F8245" s="19"/>
      <c r="G8245" s="19"/>
      <c r="N8245" s="19"/>
      <c r="P8245" s="19"/>
      <c r="AL8245" s="19"/>
    </row>
    <row r="8246" spans="1:38" s="11" customFormat="1" x14ac:dyDescent="0.25">
      <c r="A8246" s="3"/>
      <c r="F8246" s="19"/>
      <c r="G8246" s="19"/>
      <c r="N8246" s="19"/>
      <c r="P8246" s="19"/>
      <c r="AL8246" s="19"/>
    </row>
    <row r="8247" spans="1:38" s="11" customFormat="1" x14ac:dyDescent="0.25">
      <c r="A8247" s="3"/>
      <c r="F8247" s="19"/>
      <c r="G8247" s="19"/>
      <c r="N8247" s="19"/>
      <c r="P8247" s="19"/>
      <c r="AL8247" s="19"/>
    </row>
    <row r="8248" spans="1:38" s="11" customFormat="1" x14ac:dyDescent="0.25">
      <c r="A8248" s="3"/>
      <c r="F8248" s="19"/>
      <c r="G8248" s="19"/>
      <c r="N8248" s="19"/>
      <c r="P8248" s="19"/>
      <c r="AL8248" s="19"/>
    </row>
    <row r="8249" spans="1:38" s="11" customFormat="1" x14ac:dyDescent="0.25">
      <c r="A8249" s="3"/>
      <c r="F8249" s="19"/>
      <c r="G8249" s="19"/>
      <c r="N8249" s="19"/>
      <c r="P8249" s="19"/>
      <c r="AL8249" s="19"/>
    </row>
    <row r="8250" spans="1:38" s="11" customFormat="1" x14ac:dyDescent="0.25">
      <c r="A8250" s="3"/>
      <c r="F8250" s="19"/>
      <c r="G8250" s="19"/>
      <c r="N8250" s="19"/>
      <c r="P8250" s="19"/>
      <c r="AL8250" s="19"/>
    </row>
    <row r="8251" spans="1:38" s="11" customFormat="1" x14ac:dyDescent="0.25">
      <c r="A8251" s="3"/>
      <c r="F8251" s="19"/>
      <c r="G8251" s="19"/>
      <c r="N8251" s="19"/>
      <c r="P8251" s="19"/>
      <c r="AL8251" s="19"/>
    </row>
    <row r="8252" spans="1:38" s="11" customFormat="1" x14ac:dyDescent="0.25">
      <c r="A8252" s="3"/>
      <c r="F8252" s="19"/>
      <c r="G8252" s="19"/>
      <c r="N8252" s="19"/>
      <c r="P8252" s="19"/>
      <c r="AL8252" s="19"/>
    </row>
    <row r="8253" spans="1:38" s="11" customFormat="1" x14ac:dyDescent="0.25">
      <c r="A8253" s="3"/>
      <c r="F8253" s="19"/>
      <c r="G8253" s="19"/>
      <c r="N8253" s="19"/>
      <c r="P8253" s="19"/>
      <c r="AL8253" s="19"/>
    </row>
    <row r="8254" spans="1:38" s="11" customFormat="1" x14ac:dyDescent="0.25">
      <c r="A8254" s="3"/>
      <c r="F8254" s="19"/>
      <c r="G8254" s="19"/>
      <c r="N8254" s="19"/>
      <c r="P8254" s="19"/>
      <c r="AL8254" s="19"/>
    </row>
    <row r="8255" spans="1:38" s="11" customFormat="1" x14ac:dyDescent="0.25">
      <c r="A8255" s="3"/>
      <c r="F8255" s="19"/>
      <c r="G8255" s="19"/>
      <c r="N8255" s="19"/>
      <c r="P8255" s="19"/>
      <c r="AL8255" s="19"/>
    </row>
    <row r="8256" spans="1:38" s="11" customFormat="1" x14ac:dyDescent="0.25">
      <c r="A8256" s="3"/>
      <c r="F8256" s="19"/>
      <c r="G8256" s="19"/>
      <c r="N8256" s="19"/>
      <c r="P8256" s="19"/>
      <c r="AL8256" s="19"/>
    </row>
    <row r="8257" spans="1:38" s="11" customFormat="1" x14ac:dyDescent="0.25">
      <c r="A8257" s="3"/>
      <c r="F8257" s="19"/>
      <c r="G8257" s="19"/>
      <c r="N8257" s="19"/>
      <c r="P8257" s="19"/>
      <c r="AL8257" s="19"/>
    </row>
    <row r="8258" spans="1:38" s="11" customFormat="1" x14ac:dyDescent="0.25">
      <c r="A8258" s="3"/>
      <c r="F8258" s="19"/>
      <c r="G8258" s="19"/>
      <c r="N8258" s="19"/>
      <c r="P8258" s="19"/>
      <c r="AL8258" s="19"/>
    </row>
    <row r="8259" spans="1:38" s="11" customFormat="1" x14ac:dyDescent="0.25">
      <c r="A8259" s="3"/>
      <c r="F8259" s="19"/>
      <c r="G8259" s="19"/>
      <c r="N8259" s="19"/>
      <c r="P8259" s="19"/>
      <c r="AL8259" s="19"/>
    </row>
    <row r="8260" spans="1:38" s="11" customFormat="1" x14ac:dyDescent="0.25">
      <c r="A8260" s="3"/>
      <c r="F8260" s="19"/>
      <c r="G8260" s="19"/>
      <c r="N8260" s="19"/>
      <c r="P8260" s="19"/>
      <c r="AL8260" s="19"/>
    </row>
    <row r="8261" spans="1:38" s="11" customFormat="1" x14ac:dyDescent="0.25">
      <c r="A8261" s="3"/>
      <c r="F8261" s="19"/>
      <c r="G8261" s="19"/>
      <c r="N8261" s="19"/>
      <c r="P8261" s="19"/>
      <c r="AL8261" s="19"/>
    </row>
    <row r="8262" spans="1:38" s="11" customFormat="1" x14ac:dyDescent="0.25">
      <c r="A8262" s="3"/>
      <c r="F8262" s="19"/>
      <c r="G8262" s="19"/>
      <c r="N8262" s="19"/>
      <c r="P8262" s="19"/>
      <c r="AL8262" s="19"/>
    </row>
    <row r="8263" spans="1:38" s="11" customFormat="1" x14ac:dyDescent="0.25">
      <c r="A8263" s="3"/>
      <c r="F8263" s="19"/>
      <c r="G8263" s="19"/>
      <c r="N8263" s="19"/>
      <c r="P8263" s="19"/>
      <c r="AL8263" s="19"/>
    </row>
    <row r="8264" spans="1:38" s="11" customFormat="1" x14ac:dyDescent="0.25">
      <c r="A8264" s="3"/>
      <c r="F8264" s="19"/>
      <c r="G8264" s="19"/>
      <c r="N8264" s="19"/>
      <c r="P8264" s="19"/>
      <c r="AL8264" s="19"/>
    </row>
    <row r="8265" spans="1:38" s="11" customFormat="1" x14ac:dyDescent="0.25">
      <c r="A8265" s="3"/>
      <c r="F8265" s="19"/>
      <c r="G8265" s="19"/>
      <c r="N8265" s="19"/>
      <c r="P8265" s="19"/>
      <c r="AL8265" s="19"/>
    </row>
    <row r="8266" spans="1:38" s="11" customFormat="1" x14ac:dyDescent="0.25">
      <c r="A8266" s="3"/>
      <c r="F8266" s="19"/>
      <c r="G8266" s="19"/>
      <c r="N8266" s="19"/>
      <c r="P8266" s="19"/>
      <c r="AL8266" s="19"/>
    </row>
    <row r="8267" spans="1:38" s="11" customFormat="1" x14ac:dyDescent="0.25">
      <c r="A8267" s="3"/>
      <c r="F8267" s="19"/>
      <c r="G8267" s="19"/>
      <c r="N8267" s="19"/>
      <c r="P8267" s="19"/>
      <c r="AL8267" s="19"/>
    </row>
    <row r="8268" spans="1:38" s="11" customFormat="1" x14ac:dyDescent="0.25">
      <c r="A8268" s="3"/>
      <c r="F8268" s="19"/>
      <c r="G8268" s="19"/>
      <c r="N8268" s="19"/>
      <c r="P8268" s="19"/>
      <c r="AL8268" s="19"/>
    </row>
    <row r="8269" spans="1:38" s="11" customFormat="1" x14ac:dyDescent="0.25">
      <c r="A8269" s="3"/>
      <c r="F8269" s="19"/>
      <c r="G8269" s="19"/>
      <c r="N8269" s="19"/>
      <c r="P8269" s="19"/>
      <c r="AL8269" s="19"/>
    </row>
    <row r="8270" spans="1:38" s="11" customFormat="1" x14ac:dyDescent="0.25">
      <c r="A8270" s="3"/>
      <c r="F8270" s="19"/>
      <c r="G8270" s="19"/>
      <c r="N8270" s="19"/>
      <c r="P8270" s="19"/>
      <c r="AL8270" s="19"/>
    </row>
    <row r="8271" spans="1:38" s="11" customFormat="1" x14ac:dyDescent="0.25">
      <c r="A8271" s="3"/>
      <c r="F8271" s="19"/>
      <c r="G8271" s="19"/>
      <c r="N8271" s="19"/>
      <c r="P8271" s="19"/>
      <c r="AL8271" s="19"/>
    </row>
    <row r="8272" spans="1:38" s="11" customFormat="1" x14ac:dyDescent="0.25">
      <c r="A8272" s="3"/>
      <c r="F8272" s="19"/>
      <c r="G8272" s="19"/>
      <c r="N8272" s="19"/>
      <c r="P8272" s="19"/>
      <c r="AL8272" s="19"/>
    </row>
    <row r="8273" spans="1:38" s="11" customFormat="1" x14ac:dyDescent="0.25">
      <c r="A8273" s="3"/>
      <c r="F8273" s="19"/>
      <c r="G8273" s="19"/>
      <c r="N8273" s="19"/>
      <c r="P8273" s="19"/>
      <c r="AL8273" s="19"/>
    </row>
    <row r="8274" spans="1:38" s="11" customFormat="1" x14ac:dyDescent="0.25">
      <c r="A8274" s="3"/>
      <c r="F8274" s="19"/>
      <c r="G8274" s="19"/>
      <c r="N8274" s="19"/>
      <c r="P8274" s="19"/>
      <c r="AL8274" s="19"/>
    </row>
    <row r="8275" spans="1:38" s="11" customFormat="1" x14ac:dyDescent="0.25">
      <c r="A8275" s="3"/>
      <c r="F8275" s="19"/>
      <c r="G8275" s="19"/>
      <c r="N8275" s="19"/>
      <c r="P8275" s="19"/>
      <c r="AL8275" s="19"/>
    </row>
    <row r="8276" spans="1:38" s="11" customFormat="1" x14ac:dyDescent="0.25">
      <c r="A8276" s="3"/>
      <c r="F8276" s="19"/>
      <c r="G8276" s="19"/>
      <c r="N8276" s="19"/>
      <c r="P8276" s="19"/>
      <c r="AL8276" s="19"/>
    </row>
    <row r="8277" spans="1:38" s="11" customFormat="1" x14ac:dyDescent="0.25">
      <c r="A8277" s="3"/>
      <c r="F8277" s="19"/>
      <c r="G8277" s="19"/>
      <c r="N8277" s="19"/>
      <c r="P8277" s="19"/>
      <c r="AL8277" s="19"/>
    </row>
    <row r="8278" spans="1:38" s="11" customFormat="1" x14ac:dyDescent="0.25">
      <c r="A8278" s="3"/>
      <c r="F8278" s="19"/>
      <c r="G8278" s="19"/>
      <c r="N8278" s="19"/>
      <c r="P8278" s="19"/>
      <c r="AL8278" s="19"/>
    </row>
    <row r="8279" spans="1:38" s="11" customFormat="1" x14ac:dyDescent="0.25">
      <c r="A8279" s="3"/>
      <c r="F8279" s="19"/>
      <c r="G8279" s="19"/>
      <c r="N8279" s="19"/>
      <c r="P8279" s="19"/>
      <c r="AL8279" s="19"/>
    </row>
    <row r="8280" spans="1:38" s="11" customFormat="1" x14ac:dyDescent="0.25">
      <c r="A8280" s="3"/>
      <c r="F8280" s="19"/>
      <c r="G8280" s="19"/>
      <c r="N8280" s="19"/>
      <c r="P8280" s="19"/>
      <c r="AL8280" s="19"/>
    </row>
    <row r="8281" spans="1:38" s="11" customFormat="1" x14ac:dyDescent="0.25">
      <c r="A8281" s="3"/>
      <c r="F8281" s="19"/>
      <c r="G8281" s="19"/>
      <c r="N8281" s="19"/>
      <c r="P8281" s="19"/>
      <c r="AL8281" s="19"/>
    </row>
    <row r="8282" spans="1:38" s="11" customFormat="1" x14ac:dyDescent="0.25">
      <c r="A8282" s="3"/>
      <c r="F8282" s="19"/>
      <c r="G8282" s="19"/>
      <c r="N8282" s="19"/>
      <c r="P8282" s="19"/>
      <c r="AL8282" s="19"/>
    </row>
    <row r="8283" spans="1:38" s="11" customFormat="1" x14ac:dyDescent="0.25">
      <c r="A8283" s="3"/>
      <c r="F8283" s="19"/>
      <c r="G8283" s="19"/>
      <c r="N8283" s="19"/>
      <c r="P8283" s="19"/>
      <c r="AL8283" s="19"/>
    </row>
    <row r="8284" spans="1:38" s="11" customFormat="1" x14ac:dyDescent="0.25">
      <c r="A8284" s="3"/>
      <c r="F8284" s="19"/>
      <c r="G8284" s="19"/>
      <c r="N8284" s="19"/>
      <c r="P8284" s="19"/>
      <c r="AL8284" s="19"/>
    </row>
    <row r="8285" spans="1:38" s="11" customFormat="1" x14ac:dyDescent="0.25">
      <c r="A8285" s="3"/>
      <c r="F8285" s="19"/>
      <c r="G8285" s="19"/>
      <c r="N8285" s="19"/>
      <c r="P8285" s="19"/>
      <c r="AL8285" s="19"/>
    </row>
    <row r="8286" spans="1:38" s="11" customFormat="1" x14ac:dyDescent="0.25">
      <c r="A8286" s="3"/>
      <c r="F8286" s="19"/>
      <c r="G8286" s="19"/>
      <c r="N8286" s="19"/>
      <c r="P8286" s="19"/>
      <c r="AL8286" s="19"/>
    </row>
    <row r="8287" spans="1:38" s="11" customFormat="1" x14ac:dyDescent="0.25">
      <c r="A8287" s="3"/>
      <c r="F8287" s="19"/>
      <c r="G8287" s="19"/>
      <c r="N8287" s="19"/>
      <c r="P8287" s="19"/>
      <c r="AL8287" s="19"/>
    </row>
    <row r="8288" spans="1:38" s="11" customFormat="1" x14ac:dyDescent="0.25">
      <c r="A8288" s="3"/>
      <c r="F8288" s="19"/>
      <c r="G8288" s="19"/>
      <c r="N8288" s="19"/>
      <c r="P8288" s="19"/>
      <c r="AL8288" s="19"/>
    </row>
    <row r="8289" spans="1:38" s="11" customFormat="1" x14ac:dyDescent="0.25">
      <c r="A8289" s="3"/>
      <c r="F8289" s="19"/>
      <c r="G8289" s="19"/>
      <c r="N8289" s="19"/>
      <c r="P8289" s="19"/>
      <c r="AL8289" s="19"/>
    </row>
    <row r="8290" spans="1:38" s="11" customFormat="1" x14ac:dyDescent="0.25">
      <c r="A8290" s="3"/>
      <c r="F8290" s="19"/>
      <c r="G8290" s="19"/>
      <c r="N8290" s="19"/>
      <c r="P8290" s="19"/>
      <c r="AL8290" s="19"/>
    </row>
    <row r="8291" spans="1:38" s="11" customFormat="1" x14ac:dyDescent="0.25">
      <c r="A8291" s="3"/>
      <c r="F8291" s="19"/>
      <c r="G8291" s="19"/>
      <c r="N8291" s="19"/>
      <c r="P8291" s="19"/>
      <c r="AL8291" s="19"/>
    </row>
    <row r="8292" spans="1:38" s="11" customFormat="1" x14ac:dyDescent="0.25">
      <c r="A8292" s="3"/>
      <c r="F8292" s="19"/>
      <c r="G8292" s="19"/>
      <c r="N8292" s="19"/>
      <c r="P8292" s="19"/>
      <c r="AL8292" s="19"/>
    </row>
    <row r="8293" spans="1:38" s="11" customFormat="1" x14ac:dyDescent="0.25">
      <c r="A8293" s="3"/>
      <c r="F8293" s="19"/>
      <c r="G8293" s="19"/>
      <c r="N8293" s="19"/>
      <c r="P8293" s="19"/>
      <c r="AL8293" s="19"/>
    </row>
    <row r="8294" spans="1:38" s="11" customFormat="1" x14ac:dyDescent="0.25">
      <c r="A8294" s="3"/>
      <c r="F8294" s="19"/>
      <c r="G8294" s="19"/>
      <c r="N8294" s="19"/>
      <c r="P8294" s="19"/>
      <c r="AL8294" s="19"/>
    </row>
    <row r="8295" spans="1:38" s="11" customFormat="1" x14ac:dyDescent="0.25">
      <c r="A8295" s="3"/>
      <c r="F8295" s="19"/>
      <c r="G8295" s="19"/>
      <c r="N8295" s="19"/>
      <c r="P8295" s="19"/>
      <c r="AL8295" s="19"/>
    </row>
    <row r="8296" spans="1:38" s="11" customFormat="1" x14ac:dyDescent="0.25">
      <c r="A8296" s="3"/>
      <c r="F8296" s="19"/>
      <c r="G8296" s="19"/>
      <c r="N8296" s="19"/>
      <c r="P8296" s="19"/>
      <c r="AL8296" s="19"/>
    </row>
    <row r="8297" spans="1:38" s="11" customFormat="1" x14ac:dyDescent="0.25">
      <c r="A8297" s="3"/>
      <c r="F8297" s="19"/>
      <c r="G8297" s="19"/>
      <c r="N8297" s="19"/>
      <c r="P8297" s="19"/>
      <c r="AL8297" s="19"/>
    </row>
    <row r="8298" spans="1:38" s="11" customFormat="1" x14ac:dyDescent="0.25">
      <c r="A8298" s="3"/>
      <c r="F8298" s="19"/>
      <c r="G8298" s="19"/>
      <c r="N8298" s="19"/>
      <c r="P8298" s="19"/>
      <c r="AL8298" s="19"/>
    </row>
    <row r="8299" spans="1:38" s="11" customFormat="1" x14ac:dyDescent="0.25">
      <c r="A8299" s="3"/>
      <c r="F8299" s="19"/>
      <c r="G8299" s="19"/>
      <c r="N8299" s="19"/>
      <c r="P8299" s="19"/>
      <c r="AL8299" s="19"/>
    </row>
    <row r="8300" spans="1:38" s="11" customFormat="1" x14ac:dyDescent="0.25">
      <c r="A8300" s="3"/>
      <c r="F8300" s="19"/>
      <c r="G8300" s="19"/>
      <c r="N8300" s="19"/>
      <c r="P8300" s="19"/>
      <c r="AL8300" s="19"/>
    </row>
    <row r="8301" spans="1:38" s="11" customFormat="1" x14ac:dyDescent="0.25">
      <c r="A8301" s="3"/>
      <c r="F8301" s="19"/>
      <c r="G8301" s="19"/>
      <c r="N8301" s="19"/>
      <c r="P8301" s="19"/>
      <c r="AL8301" s="19"/>
    </row>
    <row r="8302" spans="1:38" s="11" customFormat="1" x14ac:dyDescent="0.25">
      <c r="A8302" s="3"/>
      <c r="F8302" s="19"/>
      <c r="G8302" s="19"/>
      <c r="N8302" s="19"/>
      <c r="P8302" s="19"/>
      <c r="AL8302" s="19"/>
    </row>
    <row r="8303" spans="1:38" s="11" customFormat="1" x14ac:dyDescent="0.25">
      <c r="A8303" s="3"/>
      <c r="F8303" s="19"/>
      <c r="G8303" s="19"/>
      <c r="N8303" s="19"/>
      <c r="P8303" s="19"/>
      <c r="AL8303" s="19"/>
    </row>
    <row r="8304" spans="1:38" s="11" customFormat="1" x14ac:dyDescent="0.25">
      <c r="A8304" s="3"/>
      <c r="F8304" s="19"/>
      <c r="G8304" s="19"/>
      <c r="N8304" s="19"/>
      <c r="P8304" s="19"/>
      <c r="AL8304" s="19"/>
    </row>
    <row r="8305" spans="1:38" s="11" customFormat="1" x14ac:dyDescent="0.25">
      <c r="A8305" s="3"/>
      <c r="F8305" s="19"/>
      <c r="G8305" s="19"/>
      <c r="N8305" s="19"/>
      <c r="P8305" s="19"/>
      <c r="AL8305" s="19"/>
    </row>
    <row r="8306" spans="1:38" s="11" customFormat="1" x14ac:dyDescent="0.25">
      <c r="A8306" s="3"/>
      <c r="F8306" s="19"/>
      <c r="G8306" s="19"/>
      <c r="N8306" s="19"/>
      <c r="P8306" s="19"/>
      <c r="AL8306" s="19"/>
    </row>
    <row r="8307" spans="1:38" s="11" customFormat="1" x14ac:dyDescent="0.25">
      <c r="A8307" s="3"/>
      <c r="F8307" s="19"/>
      <c r="G8307" s="19"/>
      <c r="N8307" s="19"/>
      <c r="P8307" s="19"/>
      <c r="AL8307" s="19"/>
    </row>
    <row r="8308" spans="1:38" s="11" customFormat="1" x14ac:dyDescent="0.25">
      <c r="A8308" s="3"/>
      <c r="F8308" s="19"/>
      <c r="G8308" s="19"/>
      <c r="N8308" s="19"/>
      <c r="P8308" s="19"/>
      <c r="AL8308" s="19"/>
    </row>
    <row r="8309" spans="1:38" s="11" customFormat="1" x14ac:dyDescent="0.25">
      <c r="A8309" s="3"/>
      <c r="F8309" s="19"/>
      <c r="G8309" s="19"/>
      <c r="N8309" s="19"/>
      <c r="P8309" s="19"/>
      <c r="AL8309" s="19"/>
    </row>
    <row r="8310" spans="1:38" s="11" customFormat="1" x14ac:dyDescent="0.25">
      <c r="A8310" s="3"/>
      <c r="F8310" s="19"/>
      <c r="G8310" s="19"/>
      <c r="N8310" s="19"/>
      <c r="P8310" s="19"/>
      <c r="AL8310" s="19"/>
    </row>
    <row r="8311" spans="1:38" s="11" customFormat="1" x14ac:dyDescent="0.25">
      <c r="A8311" s="3"/>
      <c r="F8311" s="19"/>
      <c r="G8311" s="19"/>
      <c r="N8311" s="19"/>
      <c r="P8311" s="19"/>
      <c r="AL8311" s="19"/>
    </row>
    <row r="8312" spans="1:38" s="11" customFormat="1" x14ac:dyDescent="0.25">
      <c r="A8312" s="3"/>
      <c r="F8312" s="19"/>
      <c r="G8312" s="19"/>
      <c r="N8312" s="19"/>
      <c r="P8312" s="19"/>
      <c r="AL8312" s="19"/>
    </row>
    <row r="8313" spans="1:38" s="11" customFormat="1" x14ac:dyDescent="0.25">
      <c r="A8313" s="3"/>
      <c r="F8313" s="19"/>
      <c r="G8313" s="19"/>
      <c r="N8313" s="19"/>
      <c r="P8313" s="19"/>
      <c r="AL8313" s="19"/>
    </row>
    <row r="8314" spans="1:38" s="11" customFormat="1" x14ac:dyDescent="0.25">
      <c r="A8314" s="3"/>
      <c r="F8314" s="19"/>
      <c r="G8314" s="19"/>
      <c r="N8314" s="19"/>
      <c r="P8314" s="19"/>
      <c r="AL8314" s="19"/>
    </row>
    <row r="8315" spans="1:38" s="11" customFormat="1" x14ac:dyDescent="0.25">
      <c r="A8315" s="3"/>
      <c r="F8315" s="19"/>
      <c r="G8315" s="19"/>
      <c r="N8315" s="19"/>
      <c r="P8315" s="19"/>
      <c r="AL8315" s="19"/>
    </row>
    <row r="8316" spans="1:38" s="11" customFormat="1" x14ac:dyDescent="0.25">
      <c r="A8316" s="3"/>
      <c r="F8316" s="19"/>
      <c r="G8316" s="19"/>
      <c r="N8316" s="19"/>
      <c r="P8316" s="19"/>
      <c r="AL8316" s="19"/>
    </row>
    <row r="8317" spans="1:38" s="11" customFormat="1" x14ac:dyDescent="0.25">
      <c r="A8317" s="3"/>
      <c r="F8317" s="19"/>
      <c r="G8317" s="19"/>
      <c r="N8317" s="19"/>
      <c r="P8317" s="19"/>
      <c r="AL8317" s="19"/>
    </row>
    <row r="8318" spans="1:38" s="11" customFormat="1" x14ac:dyDescent="0.25">
      <c r="A8318" s="3"/>
      <c r="F8318" s="19"/>
      <c r="G8318" s="19"/>
      <c r="N8318" s="19"/>
      <c r="P8318" s="19"/>
      <c r="AL8318" s="19"/>
    </row>
    <row r="8319" spans="1:38" s="11" customFormat="1" x14ac:dyDescent="0.25">
      <c r="A8319" s="3"/>
      <c r="F8319" s="19"/>
      <c r="G8319" s="19"/>
      <c r="N8319" s="19"/>
      <c r="P8319" s="19"/>
      <c r="AL8319" s="19"/>
    </row>
    <row r="8320" spans="1:38" s="11" customFormat="1" x14ac:dyDescent="0.25">
      <c r="A8320" s="3"/>
      <c r="F8320" s="19"/>
      <c r="G8320" s="19"/>
      <c r="N8320" s="19"/>
      <c r="P8320" s="19"/>
      <c r="AL8320" s="19"/>
    </row>
    <row r="8321" spans="1:38" s="11" customFormat="1" x14ac:dyDescent="0.25">
      <c r="A8321" s="3"/>
      <c r="F8321" s="19"/>
      <c r="G8321" s="19"/>
      <c r="N8321" s="19"/>
      <c r="P8321" s="19"/>
      <c r="AL8321" s="19"/>
    </row>
    <row r="8322" spans="1:38" s="11" customFormat="1" x14ac:dyDescent="0.25">
      <c r="A8322" s="3"/>
      <c r="F8322" s="19"/>
      <c r="G8322" s="19"/>
      <c r="N8322" s="19"/>
      <c r="P8322" s="19"/>
      <c r="AL8322" s="19"/>
    </row>
    <row r="8323" spans="1:38" s="11" customFormat="1" x14ac:dyDescent="0.25">
      <c r="A8323" s="3"/>
      <c r="F8323" s="19"/>
      <c r="G8323" s="19"/>
      <c r="N8323" s="19"/>
      <c r="P8323" s="19"/>
      <c r="AL8323" s="19"/>
    </row>
    <row r="8324" spans="1:38" s="11" customFormat="1" x14ac:dyDescent="0.25">
      <c r="A8324" s="3"/>
      <c r="F8324" s="19"/>
      <c r="G8324" s="19"/>
      <c r="N8324" s="19"/>
      <c r="P8324" s="19"/>
      <c r="AL8324" s="19"/>
    </row>
    <row r="8325" spans="1:38" s="11" customFormat="1" x14ac:dyDescent="0.25">
      <c r="A8325" s="3"/>
      <c r="F8325" s="19"/>
      <c r="G8325" s="19"/>
      <c r="N8325" s="19"/>
      <c r="P8325" s="19"/>
      <c r="AL8325" s="19"/>
    </row>
    <row r="8326" spans="1:38" s="11" customFormat="1" x14ac:dyDescent="0.25">
      <c r="A8326" s="3"/>
      <c r="F8326" s="19"/>
      <c r="G8326" s="19"/>
      <c r="N8326" s="19"/>
      <c r="P8326" s="19"/>
      <c r="AL8326" s="19"/>
    </row>
    <row r="8327" spans="1:38" s="11" customFormat="1" x14ac:dyDescent="0.25">
      <c r="A8327" s="3"/>
      <c r="F8327" s="19"/>
      <c r="G8327" s="19"/>
      <c r="N8327" s="19"/>
      <c r="P8327" s="19"/>
      <c r="AL8327" s="19"/>
    </row>
    <row r="8328" spans="1:38" s="11" customFormat="1" x14ac:dyDescent="0.25">
      <c r="A8328" s="3"/>
      <c r="F8328" s="19"/>
      <c r="G8328" s="19"/>
      <c r="N8328" s="19"/>
      <c r="P8328" s="19"/>
      <c r="AL8328" s="19"/>
    </row>
    <row r="8329" spans="1:38" s="11" customFormat="1" x14ac:dyDescent="0.25">
      <c r="A8329" s="3"/>
      <c r="F8329" s="19"/>
      <c r="G8329" s="19"/>
      <c r="N8329" s="19"/>
      <c r="P8329" s="19"/>
      <c r="AL8329" s="19"/>
    </row>
    <row r="8330" spans="1:38" s="11" customFormat="1" x14ac:dyDescent="0.25">
      <c r="A8330" s="3"/>
      <c r="F8330" s="19"/>
      <c r="G8330" s="19"/>
      <c r="N8330" s="19"/>
      <c r="P8330" s="19"/>
      <c r="AL8330" s="19"/>
    </row>
    <row r="8331" spans="1:38" s="11" customFormat="1" x14ac:dyDescent="0.25">
      <c r="A8331" s="3"/>
      <c r="F8331" s="19"/>
      <c r="G8331" s="19"/>
      <c r="N8331" s="19"/>
      <c r="P8331" s="19"/>
      <c r="AL8331" s="19"/>
    </row>
    <row r="8332" spans="1:38" s="11" customFormat="1" x14ac:dyDescent="0.25">
      <c r="A8332" s="3"/>
      <c r="F8332" s="19"/>
      <c r="G8332" s="19"/>
      <c r="N8332" s="19"/>
      <c r="P8332" s="19"/>
      <c r="AL8332" s="19"/>
    </row>
    <row r="8333" spans="1:38" s="11" customFormat="1" x14ac:dyDescent="0.25">
      <c r="A8333" s="3"/>
      <c r="F8333" s="19"/>
      <c r="G8333" s="19"/>
      <c r="N8333" s="19"/>
      <c r="P8333" s="19"/>
      <c r="AL8333" s="19"/>
    </row>
    <row r="8334" spans="1:38" s="11" customFormat="1" x14ac:dyDescent="0.25">
      <c r="A8334" s="3"/>
      <c r="F8334" s="19"/>
      <c r="G8334" s="19"/>
      <c r="N8334" s="19"/>
      <c r="P8334" s="19"/>
      <c r="AL8334" s="19"/>
    </row>
    <row r="8335" spans="1:38" s="11" customFormat="1" x14ac:dyDescent="0.25">
      <c r="A8335" s="3"/>
      <c r="F8335" s="19"/>
      <c r="G8335" s="19"/>
      <c r="N8335" s="19"/>
      <c r="P8335" s="19"/>
      <c r="AL8335" s="19"/>
    </row>
    <row r="8336" spans="1:38" s="11" customFormat="1" x14ac:dyDescent="0.25">
      <c r="A8336" s="3"/>
      <c r="F8336" s="19"/>
      <c r="G8336" s="19"/>
      <c r="N8336" s="19"/>
      <c r="P8336" s="19"/>
      <c r="AL8336" s="19"/>
    </row>
    <row r="8337" spans="1:38" s="11" customFormat="1" x14ac:dyDescent="0.25">
      <c r="A8337" s="3"/>
      <c r="F8337" s="19"/>
      <c r="G8337" s="19"/>
      <c r="N8337" s="19"/>
      <c r="P8337" s="19"/>
      <c r="AL8337" s="19"/>
    </row>
    <row r="8338" spans="1:38" s="11" customFormat="1" x14ac:dyDescent="0.25">
      <c r="A8338" s="3"/>
      <c r="F8338" s="19"/>
      <c r="G8338" s="19"/>
      <c r="N8338" s="19"/>
      <c r="P8338" s="19"/>
      <c r="AL8338" s="19"/>
    </row>
    <row r="8339" spans="1:38" s="11" customFormat="1" x14ac:dyDescent="0.25">
      <c r="A8339" s="3"/>
      <c r="F8339" s="19"/>
      <c r="G8339" s="19"/>
      <c r="N8339" s="19"/>
      <c r="P8339" s="19"/>
      <c r="AL8339" s="19"/>
    </row>
    <row r="8340" spans="1:38" s="11" customFormat="1" x14ac:dyDescent="0.25">
      <c r="A8340" s="3"/>
      <c r="F8340" s="19"/>
      <c r="G8340" s="19"/>
      <c r="N8340" s="19"/>
      <c r="P8340" s="19"/>
      <c r="AL8340" s="19"/>
    </row>
    <row r="8341" spans="1:38" s="11" customFormat="1" x14ac:dyDescent="0.25">
      <c r="A8341" s="3"/>
      <c r="F8341" s="19"/>
      <c r="G8341" s="19"/>
      <c r="N8341" s="19"/>
      <c r="P8341" s="19"/>
      <c r="AL8341" s="19"/>
    </row>
    <row r="8342" spans="1:38" s="11" customFormat="1" x14ac:dyDescent="0.25">
      <c r="A8342" s="3"/>
      <c r="F8342" s="19"/>
      <c r="G8342" s="19"/>
      <c r="N8342" s="19"/>
      <c r="P8342" s="19"/>
      <c r="AL8342" s="19"/>
    </row>
    <row r="8343" spans="1:38" s="11" customFormat="1" x14ac:dyDescent="0.25">
      <c r="A8343" s="3"/>
      <c r="F8343" s="19"/>
      <c r="G8343" s="19"/>
      <c r="N8343" s="19"/>
      <c r="P8343" s="19"/>
      <c r="AL8343" s="19"/>
    </row>
    <row r="8344" spans="1:38" s="11" customFormat="1" x14ac:dyDescent="0.25">
      <c r="A8344" s="3"/>
      <c r="F8344" s="19"/>
      <c r="G8344" s="19"/>
      <c r="N8344" s="19"/>
      <c r="P8344" s="19"/>
      <c r="AL8344" s="19"/>
    </row>
    <row r="8345" spans="1:38" s="11" customFormat="1" x14ac:dyDescent="0.25">
      <c r="A8345" s="3"/>
      <c r="F8345" s="19"/>
      <c r="G8345" s="19"/>
      <c r="N8345" s="19"/>
      <c r="P8345" s="19"/>
      <c r="AL8345" s="19"/>
    </row>
    <row r="8346" spans="1:38" s="11" customFormat="1" x14ac:dyDescent="0.25">
      <c r="A8346" s="3"/>
      <c r="F8346" s="19"/>
      <c r="G8346" s="19"/>
      <c r="N8346" s="19"/>
      <c r="P8346" s="19"/>
      <c r="AL8346" s="19"/>
    </row>
    <row r="8347" spans="1:38" s="11" customFormat="1" x14ac:dyDescent="0.25">
      <c r="A8347" s="3"/>
      <c r="F8347" s="19"/>
      <c r="G8347" s="19"/>
      <c r="N8347" s="19"/>
      <c r="P8347" s="19"/>
      <c r="AL8347" s="19"/>
    </row>
    <row r="8348" spans="1:38" s="11" customFormat="1" x14ac:dyDescent="0.25">
      <c r="A8348" s="3"/>
      <c r="F8348" s="19"/>
      <c r="G8348" s="19"/>
      <c r="N8348" s="19"/>
      <c r="P8348" s="19"/>
      <c r="AL8348" s="19"/>
    </row>
    <row r="8349" spans="1:38" s="11" customFormat="1" x14ac:dyDescent="0.25">
      <c r="A8349" s="3"/>
      <c r="F8349" s="19"/>
      <c r="G8349" s="19"/>
      <c r="N8349" s="19"/>
      <c r="P8349" s="19"/>
      <c r="AL8349" s="19"/>
    </row>
    <row r="8350" spans="1:38" s="11" customFormat="1" x14ac:dyDescent="0.25">
      <c r="A8350" s="3"/>
      <c r="F8350" s="19"/>
      <c r="G8350" s="19"/>
      <c r="N8350" s="19"/>
      <c r="P8350" s="19"/>
      <c r="AL8350" s="19"/>
    </row>
    <row r="8351" spans="1:38" s="11" customFormat="1" x14ac:dyDescent="0.25">
      <c r="A8351" s="3"/>
      <c r="F8351" s="19"/>
      <c r="G8351" s="19"/>
      <c r="N8351" s="19"/>
      <c r="P8351" s="19"/>
      <c r="AL8351" s="19"/>
    </row>
    <row r="8352" spans="1:38" s="11" customFormat="1" x14ac:dyDescent="0.25">
      <c r="A8352" s="3"/>
      <c r="F8352" s="19"/>
      <c r="G8352" s="19"/>
      <c r="N8352" s="19"/>
      <c r="P8352" s="19"/>
      <c r="AL8352" s="19"/>
    </row>
    <row r="8353" spans="1:38" s="11" customFormat="1" x14ac:dyDescent="0.25">
      <c r="A8353" s="3"/>
      <c r="F8353" s="19"/>
      <c r="G8353" s="19"/>
      <c r="N8353" s="19"/>
      <c r="P8353" s="19"/>
      <c r="AL8353" s="19"/>
    </row>
    <row r="8354" spans="1:38" s="11" customFormat="1" x14ac:dyDescent="0.25">
      <c r="A8354" s="3"/>
      <c r="F8354" s="19"/>
      <c r="G8354" s="19"/>
      <c r="N8354" s="19"/>
      <c r="P8354" s="19"/>
      <c r="AL8354" s="19"/>
    </row>
    <row r="8355" spans="1:38" s="11" customFormat="1" x14ac:dyDescent="0.25">
      <c r="A8355" s="3"/>
      <c r="F8355" s="19"/>
      <c r="G8355" s="19"/>
      <c r="N8355" s="19"/>
      <c r="P8355" s="19"/>
      <c r="AL8355" s="19"/>
    </row>
    <row r="8356" spans="1:38" s="11" customFormat="1" x14ac:dyDescent="0.25">
      <c r="A8356" s="3"/>
      <c r="F8356" s="19"/>
      <c r="G8356" s="19"/>
      <c r="N8356" s="19"/>
      <c r="P8356" s="19"/>
      <c r="AL8356" s="19"/>
    </row>
    <row r="8357" spans="1:38" s="11" customFormat="1" x14ac:dyDescent="0.25">
      <c r="A8357" s="3"/>
      <c r="F8357" s="19"/>
      <c r="G8357" s="19"/>
      <c r="N8357" s="19"/>
      <c r="P8357" s="19"/>
      <c r="AL8357" s="19"/>
    </row>
    <row r="8358" spans="1:38" s="11" customFormat="1" x14ac:dyDescent="0.25">
      <c r="A8358" s="3"/>
      <c r="F8358" s="19"/>
      <c r="G8358" s="19"/>
      <c r="N8358" s="19"/>
      <c r="P8358" s="19"/>
      <c r="AL8358" s="19"/>
    </row>
    <row r="8359" spans="1:38" s="11" customFormat="1" x14ac:dyDescent="0.25">
      <c r="A8359" s="3"/>
      <c r="F8359" s="19"/>
      <c r="G8359" s="19"/>
      <c r="N8359" s="19"/>
      <c r="P8359" s="19"/>
      <c r="AL8359" s="19"/>
    </row>
    <row r="8360" spans="1:38" s="11" customFormat="1" x14ac:dyDescent="0.25">
      <c r="A8360" s="3"/>
      <c r="F8360" s="19"/>
      <c r="G8360" s="19"/>
      <c r="N8360" s="19"/>
      <c r="P8360" s="19"/>
      <c r="AL8360" s="19"/>
    </row>
    <row r="8361" spans="1:38" s="11" customFormat="1" x14ac:dyDescent="0.25">
      <c r="A8361" s="3"/>
      <c r="F8361" s="19"/>
      <c r="G8361" s="19"/>
      <c r="N8361" s="19"/>
      <c r="P8361" s="19"/>
      <c r="AL8361" s="19"/>
    </row>
    <row r="8362" spans="1:38" s="11" customFormat="1" x14ac:dyDescent="0.25">
      <c r="A8362" s="3"/>
      <c r="F8362" s="19"/>
      <c r="G8362" s="19"/>
      <c r="N8362" s="19"/>
      <c r="P8362" s="19"/>
      <c r="AL8362" s="19"/>
    </row>
    <row r="8363" spans="1:38" s="11" customFormat="1" x14ac:dyDescent="0.25">
      <c r="A8363" s="3"/>
      <c r="F8363" s="19"/>
      <c r="G8363" s="19"/>
      <c r="N8363" s="19"/>
      <c r="P8363" s="19"/>
      <c r="AL8363" s="19"/>
    </row>
    <row r="8364" spans="1:38" s="11" customFormat="1" x14ac:dyDescent="0.25">
      <c r="A8364" s="3"/>
      <c r="F8364" s="19"/>
      <c r="G8364" s="19"/>
      <c r="N8364" s="19"/>
      <c r="P8364" s="19"/>
      <c r="AL8364" s="19"/>
    </row>
    <row r="8365" spans="1:38" s="11" customFormat="1" x14ac:dyDescent="0.25">
      <c r="A8365" s="3"/>
      <c r="F8365" s="19"/>
      <c r="G8365" s="19"/>
      <c r="N8365" s="19"/>
      <c r="P8365" s="19"/>
      <c r="AL8365" s="19"/>
    </row>
    <row r="8366" spans="1:38" s="11" customFormat="1" x14ac:dyDescent="0.25">
      <c r="A8366" s="3"/>
      <c r="F8366" s="19"/>
      <c r="G8366" s="19"/>
      <c r="N8366" s="19"/>
      <c r="P8366" s="19"/>
      <c r="AL8366" s="19"/>
    </row>
    <row r="8367" spans="1:38" s="11" customFormat="1" x14ac:dyDescent="0.25">
      <c r="A8367" s="3"/>
      <c r="F8367" s="19"/>
      <c r="G8367" s="19"/>
      <c r="N8367" s="19"/>
      <c r="P8367" s="19"/>
      <c r="AL8367" s="19"/>
    </row>
    <row r="8368" spans="1:38" s="11" customFormat="1" x14ac:dyDescent="0.25">
      <c r="A8368" s="3"/>
      <c r="F8368" s="19"/>
      <c r="G8368" s="19"/>
      <c r="N8368" s="19"/>
      <c r="P8368" s="19"/>
      <c r="AL8368" s="19"/>
    </row>
    <row r="8369" spans="1:38" s="11" customFormat="1" x14ac:dyDescent="0.25">
      <c r="A8369" s="3"/>
      <c r="F8369" s="19"/>
      <c r="G8369" s="19"/>
      <c r="N8369" s="19"/>
      <c r="P8369" s="19"/>
      <c r="AL8369" s="19"/>
    </row>
    <row r="8370" spans="1:38" s="11" customFormat="1" x14ac:dyDescent="0.25">
      <c r="A8370" s="3"/>
      <c r="F8370" s="19"/>
      <c r="G8370" s="19"/>
      <c r="N8370" s="19"/>
      <c r="P8370" s="19"/>
      <c r="AL8370" s="19"/>
    </row>
    <row r="8371" spans="1:38" s="11" customFormat="1" x14ac:dyDescent="0.25">
      <c r="A8371" s="3"/>
      <c r="F8371" s="19"/>
      <c r="G8371" s="19"/>
      <c r="N8371" s="19"/>
      <c r="P8371" s="19"/>
      <c r="AL8371" s="19"/>
    </row>
    <row r="8372" spans="1:38" s="11" customFormat="1" x14ac:dyDescent="0.25">
      <c r="A8372" s="3"/>
      <c r="F8372" s="19"/>
      <c r="G8372" s="19"/>
      <c r="N8372" s="19"/>
      <c r="P8372" s="19"/>
      <c r="AL8372" s="19"/>
    </row>
    <row r="8373" spans="1:38" s="11" customFormat="1" x14ac:dyDescent="0.25">
      <c r="A8373" s="3"/>
      <c r="F8373" s="19"/>
      <c r="G8373" s="19"/>
      <c r="N8373" s="19"/>
      <c r="P8373" s="19"/>
      <c r="AL8373" s="19"/>
    </row>
    <row r="8374" spans="1:38" s="11" customFormat="1" x14ac:dyDescent="0.25">
      <c r="A8374" s="3"/>
      <c r="F8374" s="19"/>
      <c r="G8374" s="19"/>
      <c r="N8374" s="19"/>
      <c r="P8374" s="19"/>
      <c r="AL8374" s="19"/>
    </row>
    <row r="8375" spans="1:38" s="11" customFormat="1" x14ac:dyDescent="0.25">
      <c r="A8375" s="3"/>
      <c r="F8375" s="19"/>
      <c r="G8375" s="19"/>
      <c r="N8375" s="19"/>
      <c r="P8375" s="19"/>
      <c r="AL8375" s="19"/>
    </row>
    <row r="8376" spans="1:38" s="11" customFormat="1" x14ac:dyDescent="0.25">
      <c r="A8376" s="3"/>
      <c r="F8376" s="19"/>
      <c r="G8376" s="19"/>
      <c r="N8376" s="19"/>
      <c r="P8376" s="19"/>
      <c r="AL8376" s="19"/>
    </row>
    <row r="8377" spans="1:38" s="11" customFormat="1" x14ac:dyDescent="0.25">
      <c r="A8377" s="3"/>
      <c r="F8377" s="19"/>
      <c r="G8377" s="19"/>
      <c r="N8377" s="19"/>
      <c r="P8377" s="19"/>
      <c r="AL8377" s="19"/>
    </row>
    <row r="8378" spans="1:38" s="11" customFormat="1" x14ac:dyDescent="0.25">
      <c r="A8378" s="3"/>
      <c r="F8378" s="19"/>
      <c r="G8378" s="19"/>
      <c r="N8378" s="19"/>
      <c r="P8378" s="19"/>
      <c r="AL8378" s="19"/>
    </row>
    <row r="8379" spans="1:38" s="11" customFormat="1" x14ac:dyDescent="0.25">
      <c r="A8379" s="3"/>
      <c r="F8379" s="19"/>
      <c r="G8379" s="19"/>
      <c r="N8379" s="19"/>
      <c r="P8379" s="19"/>
      <c r="AL8379" s="19"/>
    </row>
    <row r="8380" spans="1:38" s="11" customFormat="1" x14ac:dyDescent="0.25">
      <c r="A8380" s="3"/>
      <c r="F8380" s="19"/>
      <c r="G8380" s="19"/>
      <c r="N8380" s="19"/>
      <c r="P8380" s="19"/>
      <c r="AL8380" s="19"/>
    </row>
    <row r="8381" spans="1:38" s="11" customFormat="1" x14ac:dyDescent="0.25">
      <c r="A8381" s="3"/>
      <c r="F8381" s="19"/>
      <c r="G8381" s="19"/>
      <c r="N8381" s="19"/>
      <c r="P8381" s="19"/>
      <c r="AL8381" s="19"/>
    </row>
    <row r="8382" spans="1:38" s="11" customFormat="1" x14ac:dyDescent="0.25">
      <c r="A8382" s="3"/>
      <c r="F8382" s="19"/>
      <c r="G8382" s="19"/>
      <c r="N8382" s="19"/>
      <c r="P8382" s="19"/>
      <c r="AL8382" s="19"/>
    </row>
    <row r="8383" spans="1:38" s="11" customFormat="1" x14ac:dyDescent="0.25">
      <c r="A8383" s="3"/>
      <c r="F8383" s="19"/>
      <c r="G8383" s="19"/>
      <c r="N8383" s="19"/>
      <c r="P8383" s="19"/>
      <c r="AL8383" s="19"/>
    </row>
    <row r="8384" spans="1:38" s="11" customFormat="1" x14ac:dyDescent="0.25">
      <c r="A8384" s="3"/>
      <c r="F8384" s="19"/>
      <c r="G8384" s="19"/>
      <c r="N8384" s="19"/>
      <c r="P8384" s="19"/>
      <c r="AL8384" s="19"/>
    </row>
    <row r="8385" spans="1:38" s="11" customFormat="1" x14ac:dyDescent="0.25">
      <c r="A8385" s="3"/>
      <c r="F8385" s="19"/>
      <c r="G8385" s="19"/>
      <c r="N8385" s="19"/>
      <c r="P8385" s="19"/>
      <c r="AL8385" s="19"/>
    </row>
    <row r="8386" spans="1:38" s="11" customFormat="1" x14ac:dyDescent="0.25">
      <c r="A8386" s="3"/>
      <c r="F8386" s="19"/>
      <c r="G8386" s="19"/>
      <c r="N8386" s="19"/>
      <c r="P8386" s="19"/>
      <c r="AL8386" s="19"/>
    </row>
    <row r="8387" spans="1:38" s="11" customFormat="1" x14ac:dyDescent="0.25">
      <c r="A8387" s="3"/>
      <c r="F8387" s="19"/>
      <c r="G8387" s="19"/>
      <c r="N8387" s="19"/>
      <c r="P8387" s="19"/>
      <c r="AL8387" s="19"/>
    </row>
    <row r="8388" spans="1:38" s="11" customFormat="1" x14ac:dyDescent="0.25">
      <c r="A8388" s="3"/>
      <c r="F8388" s="19"/>
      <c r="G8388" s="19"/>
      <c r="N8388" s="19"/>
      <c r="P8388" s="19"/>
      <c r="AL8388" s="19"/>
    </row>
    <row r="8389" spans="1:38" s="11" customFormat="1" x14ac:dyDescent="0.25">
      <c r="A8389" s="3"/>
      <c r="F8389" s="19"/>
      <c r="G8389" s="19"/>
      <c r="N8389" s="19"/>
      <c r="P8389" s="19"/>
      <c r="AL8389" s="19"/>
    </row>
    <row r="8390" spans="1:38" s="11" customFormat="1" x14ac:dyDescent="0.25">
      <c r="A8390" s="3"/>
      <c r="F8390" s="19"/>
      <c r="G8390" s="19"/>
      <c r="N8390" s="19"/>
      <c r="P8390" s="19"/>
      <c r="AL8390" s="19"/>
    </row>
    <row r="8391" spans="1:38" s="11" customFormat="1" x14ac:dyDescent="0.25">
      <c r="A8391" s="3"/>
      <c r="F8391" s="19"/>
      <c r="G8391" s="19"/>
      <c r="N8391" s="19"/>
      <c r="P8391" s="19"/>
      <c r="AL8391" s="19"/>
    </row>
    <row r="8392" spans="1:38" s="11" customFormat="1" x14ac:dyDescent="0.25">
      <c r="A8392" s="3"/>
      <c r="F8392" s="19"/>
      <c r="G8392" s="19"/>
      <c r="N8392" s="19"/>
      <c r="P8392" s="19"/>
      <c r="AL8392" s="19"/>
    </row>
    <row r="8393" spans="1:38" s="11" customFormat="1" x14ac:dyDescent="0.25">
      <c r="A8393" s="3"/>
      <c r="F8393" s="19"/>
      <c r="G8393" s="19"/>
      <c r="N8393" s="19"/>
      <c r="P8393" s="19"/>
      <c r="AL8393" s="19"/>
    </row>
    <row r="8394" spans="1:38" s="11" customFormat="1" x14ac:dyDescent="0.25">
      <c r="A8394" s="3"/>
      <c r="F8394" s="19"/>
      <c r="G8394" s="19"/>
      <c r="N8394" s="19"/>
      <c r="P8394" s="19"/>
      <c r="AL8394" s="19"/>
    </row>
    <row r="8395" spans="1:38" s="11" customFormat="1" x14ac:dyDescent="0.25">
      <c r="A8395" s="3"/>
      <c r="F8395" s="19"/>
      <c r="G8395" s="19"/>
      <c r="N8395" s="19"/>
      <c r="P8395" s="19"/>
      <c r="AL8395" s="19"/>
    </row>
    <row r="8396" spans="1:38" s="11" customFormat="1" x14ac:dyDescent="0.25">
      <c r="A8396" s="3"/>
      <c r="F8396" s="19"/>
      <c r="G8396" s="19"/>
      <c r="N8396" s="19"/>
      <c r="P8396" s="19"/>
      <c r="AL8396" s="19"/>
    </row>
    <row r="8397" spans="1:38" s="11" customFormat="1" x14ac:dyDescent="0.25">
      <c r="A8397" s="3"/>
      <c r="F8397" s="19"/>
      <c r="G8397" s="19"/>
      <c r="N8397" s="19"/>
      <c r="P8397" s="19"/>
      <c r="AL8397" s="19"/>
    </row>
    <row r="8398" spans="1:38" s="11" customFormat="1" x14ac:dyDescent="0.25">
      <c r="A8398" s="3"/>
      <c r="F8398" s="19"/>
      <c r="G8398" s="19"/>
      <c r="N8398" s="19"/>
      <c r="P8398" s="19"/>
      <c r="AL8398" s="19"/>
    </row>
    <row r="8399" spans="1:38" s="11" customFormat="1" x14ac:dyDescent="0.25">
      <c r="A8399" s="3"/>
      <c r="F8399" s="19"/>
      <c r="G8399" s="19"/>
      <c r="N8399" s="19"/>
      <c r="P8399" s="19"/>
      <c r="AL8399" s="19"/>
    </row>
    <row r="8400" spans="1:38" s="11" customFormat="1" x14ac:dyDescent="0.25">
      <c r="A8400" s="3"/>
      <c r="F8400" s="19"/>
      <c r="G8400" s="19"/>
      <c r="N8400" s="19"/>
      <c r="P8400" s="19"/>
      <c r="AL8400" s="19"/>
    </row>
    <row r="8401" spans="1:38" s="11" customFormat="1" x14ac:dyDescent="0.25">
      <c r="A8401" s="3"/>
      <c r="F8401" s="19"/>
      <c r="G8401" s="19"/>
      <c r="N8401" s="19"/>
      <c r="P8401" s="19"/>
      <c r="AL8401" s="19"/>
    </row>
    <row r="8402" spans="1:38" s="11" customFormat="1" x14ac:dyDescent="0.25">
      <c r="A8402" s="3"/>
      <c r="F8402" s="19"/>
      <c r="G8402" s="19"/>
      <c r="N8402" s="19"/>
      <c r="P8402" s="19"/>
      <c r="AL8402" s="19"/>
    </row>
    <row r="8403" spans="1:38" s="11" customFormat="1" x14ac:dyDescent="0.25">
      <c r="A8403" s="3"/>
      <c r="F8403" s="19"/>
      <c r="G8403" s="19"/>
      <c r="N8403" s="19"/>
      <c r="P8403" s="19"/>
      <c r="AL8403" s="19"/>
    </row>
    <row r="8404" spans="1:38" s="11" customFormat="1" x14ac:dyDescent="0.25">
      <c r="A8404" s="3"/>
      <c r="F8404" s="19"/>
      <c r="G8404" s="19"/>
      <c r="N8404" s="19"/>
      <c r="P8404" s="19"/>
      <c r="AL8404" s="19"/>
    </row>
    <row r="8405" spans="1:38" s="11" customFormat="1" x14ac:dyDescent="0.25">
      <c r="A8405" s="3"/>
      <c r="F8405" s="19"/>
      <c r="G8405" s="19"/>
      <c r="N8405" s="19"/>
      <c r="P8405" s="19"/>
      <c r="AL8405" s="19"/>
    </row>
    <row r="8406" spans="1:38" s="11" customFormat="1" x14ac:dyDescent="0.25">
      <c r="A8406" s="3"/>
      <c r="F8406" s="19"/>
      <c r="G8406" s="19"/>
      <c r="N8406" s="19"/>
      <c r="P8406" s="19"/>
      <c r="AL8406" s="19"/>
    </row>
    <row r="8407" spans="1:38" s="11" customFormat="1" x14ac:dyDescent="0.25">
      <c r="A8407" s="3"/>
      <c r="F8407" s="19"/>
      <c r="G8407" s="19"/>
      <c r="N8407" s="19"/>
      <c r="P8407" s="19"/>
      <c r="AL8407" s="19"/>
    </row>
    <row r="8408" spans="1:38" s="11" customFormat="1" x14ac:dyDescent="0.25">
      <c r="A8408" s="3"/>
      <c r="F8408" s="19"/>
      <c r="G8408" s="19"/>
      <c r="N8408" s="19"/>
      <c r="P8408" s="19"/>
      <c r="AL8408" s="19"/>
    </row>
    <row r="8409" spans="1:38" s="11" customFormat="1" x14ac:dyDescent="0.25">
      <c r="A8409" s="3"/>
      <c r="F8409" s="19"/>
      <c r="G8409" s="19"/>
      <c r="N8409" s="19"/>
      <c r="P8409" s="19"/>
      <c r="AL8409" s="19"/>
    </row>
    <row r="8410" spans="1:38" s="11" customFormat="1" x14ac:dyDescent="0.25">
      <c r="A8410" s="3"/>
      <c r="F8410" s="19"/>
      <c r="G8410" s="19"/>
      <c r="N8410" s="19"/>
      <c r="P8410" s="19"/>
      <c r="AL8410" s="19"/>
    </row>
    <row r="8411" spans="1:38" s="11" customFormat="1" x14ac:dyDescent="0.25">
      <c r="A8411" s="3"/>
      <c r="F8411" s="19"/>
      <c r="G8411" s="19"/>
      <c r="N8411" s="19"/>
      <c r="P8411" s="19"/>
      <c r="AL8411" s="19"/>
    </row>
    <row r="8412" spans="1:38" s="11" customFormat="1" x14ac:dyDescent="0.25">
      <c r="A8412" s="3"/>
      <c r="F8412" s="19"/>
      <c r="G8412" s="19"/>
      <c r="N8412" s="19"/>
      <c r="P8412" s="19"/>
      <c r="AL8412" s="19"/>
    </row>
    <row r="8413" spans="1:38" s="11" customFormat="1" x14ac:dyDescent="0.25">
      <c r="A8413" s="3"/>
      <c r="F8413" s="19"/>
      <c r="G8413" s="19"/>
      <c r="N8413" s="19"/>
      <c r="P8413" s="19"/>
      <c r="AL8413" s="19"/>
    </row>
    <row r="8414" spans="1:38" s="11" customFormat="1" x14ac:dyDescent="0.25">
      <c r="A8414" s="3"/>
      <c r="F8414" s="19"/>
      <c r="G8414" s="19"/>
      <c r="N8414" s="19"/>
      <c r="P8414" s="19"/>
      <c r="AL8414" s="19"/>
    </row>
    <row r="8415" spans="1:38" s="11" customFormat="1" x14ac:dyDescent="0.25">
      <c r="A8415" s="3"/>
      <c r="F8415" s="19"/>
      <c r="G8415" s="19"/>
      <c r="N8415" s="19"/>
      <c r="P8415" s="19"/>
      <c r="AL8415" s="19"/>
    </row>
    <row r="8416" spans="1:38" s="11" customFormat="1" x14ac:dyDescent="0.25">
      <c r="A8416" s="3"/>
      <c r="F8416" s="19"/>
      <c r="G8416" s="19"/>
      <c r="N8416" s="19"/>
      <c r="P8416" s="19"/>
      <c r="AL8416" s="19"/>
    </row>
    <row r="8417" spans="1:38" s="11" customFormat="1" x14ac:dyDescent="0.25">
      <c r="A8417" s="3"/>
      <c r="F8417" s="19"/>
      <c r="G8417" s="19"/>
      <c r="N8417" s="19"/>
      <c r="P8417" s="19"/>
      <c r="AL8417" s="19"/>
    </row>
    <row r="8418" spans="1:38" s="11" customFormat="1" x14ac:dyDescent="0.25">
      <c r="A8418" s="3"/>
      <c r="F8418" s="19"/>
      <c r="G8418" s="19"/>
      <c r="N8418" s="19"/>
      <c r="P8418" s="19"/>
      <c r="AL8418" s="19"/>
    </row>
    <row r="8419" spans="1:38" s="11" customFormat="1" x14ac:dyDescent="0.25">
      <c r="A8419" s="3"/>
      <c r="F8419" s="19"/>
      <c r="G8419" s="19"/>
      <c r="N8419" s="19"/>
      <c r="P8419" s="19"/>
      <c r="AL8419" s="19"/>
    </row>
    <row r="8420" spans="1:38" s="11" customFormat="1" x14ac:dyDescent="0.25">
      <c r="A8420" s="3"/>
      <c r="F8420" s="19"/>
      <c r="G8420" s="19"/>
      <c r="N8420" s="19"/>
      <c r="P8420" s="19"/>
      <c r="AL8420" s="19"/>
    </row>
    <row r="8421" spans="1:38" s="11" customFormat="1" x14ac:dyDescent="0.25">
      <c r="A8421" s="3"/>
      <c r="F8421" s="19"/>
      <c r="G8421" s="19"/>
      <c r="N8421" s="19"/>
      <c r="P8421" s="19"/>
      <c r="AL8421" s="19"/>
    </row>
    <row r="8422" spans="1:38" s="11" customFormat="1" x14ac:dyDescent="0.25">
      <c r="A8422" s="3"/>
      <c r="F8422" s="19"/>
      <c r="G8422" s="19"/>
      <c r="N8422" s="19"/>
      <c r="P8422" s="19"/>
      <c r="AL8422" s="19"/>
    </row>
    <row r="8423" spans="1:38" s="11" customFormat="1" x14ac:dyDescent="0.25">
      <c r="A8423" s="3"/>
      <c r="F8423" s="19"/>
      <c r="G8423" s="19"/>
      <c r="N8423" s="19"/>
      <c r="P8423" s="19"/>
      <c r="AL8423" s="19"/>
    </row>
    <row r="8424" spans="1:38" s="11" customFormat="1" x14ac:dyDescent="0.25">
      <c r="A8424" s="3"/>
      <c r="F8424" s="19"/>
      <c r="G8424" s="19"/>
      <c r="N8424" s="19"/>
      <c r="P8424" s="19"/>
      <c r="AL8424" s="19"/>
    </row>
    <row r="8425" spans="1:38" s="11" customFormat="1" x14ac:dyDescent="0.25">
      <c r="A8425" s="3"/>
      <c r="F8425" s="19"/>
      <c r="G8425" s="19"/>
      <c r="N8425" s="19"/>
      <c r="P8425" s="19"/>
      <c r="AL8425" s="19"/>
    </row>
    <row r="8426" spans="1:38" s="11" customFormat="1" x14ac:dyDescent="0.25">
      <c r="A8426" s="3"/>
      <c r="F8426" s="19"/>
      <c r="G8426" s="19"/>
      <c r="N8426" s="19"/>
      <c r="P8426" s="19"/>
      <c r="AL8426" s="19"/>
    </row>
    <row r="8427" spans="1:38" s="11" customFormat="1" x14ac:dyDescent="0.25">
      <c r="A8427" s="3"/>
      <c r="F8427" s="19"/>
      <c r="G8427" s="19"/>
      <c r="N8427" s="19"/>
      <c r="P8427" s="19"/>
      <c r="AL8427" s="19"/>
    </row>
    <row r="8428" spans="1:38" s="11" customFormat="1" x14ac:dyDescent="0.25">
      <c r="A8428" s="3"/>
      <c r="F8428" s="19"/>
      <c r="G8428" s="19"/>
      <c r="N8428" s="19"/>
      <c r="P8428" s="19"/>
      <c r="AL8428" s="19"/>
    </row>
    <row r="8429" spans="1:38" s="11" customFormat="1" x14ac:dyDescent="0.25">
      <c r="A8429" s="3"/>
      <c r="F8429" s="19"/>
      <c r="G8429" s="19"/>
      <c r="N8429" s="19"/>
      <c r="P8429" s="19"/>
      <c r="AL8429" s="19"/>
    </row>
    <row r="8430" spans="1:38" s="11" customFormat="1" x14ac:dyDescent="0.25">
      <c r="A8430" s="3"/>
      <c r="F8430" s="19"/>
      <c r="G8430" s="19"/>
      <c r="N8430" s="19"/>
      <c r="P8430" s="19"/>
      <c r="AL8430" s="19"/>
    </row>
    <row r="8431" spans="1:38" s="11" customFormat="1" x14ac:dyDescent="0.25">
      <c r="A8431" s="3"/>
      <c r="F8431" s="19"/>
      <c r="G8431" s="19"/>
      <c r="N8431" s="19"/>
      <c r="P8431" s="19"/>
      <c r="AL8431" s="19"/>
    </row>
    <row r="8432" spans="1:38" s="11" customFormat="1" x14ac:dyDescent="0.25">
      <c r="A8432" s="3"/>
      <c r="F8432" s="19"/>
      <c r="G8432" s="19"/>
      <c r="N8432" s="19"/>
      <c r="P8432" s="19"/>
      <c r="AL8432" s="19"/>
    </row>
    <row r="8433" spans="1:38" s="11" customFormat="1" x14ac:dyDescent="0.25">
      <c r="A8433" s="3"/>
      <c r="F8433" s="19"/>
      <c r="G8433" s="19"/>
      <c r="N8433" s="19"/>
      <c r="P8433" s="19"/>
      <c r="AL8433" s="19"/>
    </row>
    <row r="8434" spans="1:38" s="11" customFormat="1" x14ac:dyDescent="0.25">
      <c r="A8434" s="3"/>
      <c r="F8434" s="19"/>
      <c r="G8434" s="19"/>
      <c r="N8434" s="19"/>
      <c r="P8434" s="19"/>
      <c r="AL8434" s="19"/>
    </row>
    <row r="8435" spans="1:38" s="11" customFormat="1" x14ac:dyDescent="0.25">
      <c r="A8435" s="3"/>
      <c r="F8435" s="19"/>
      <c r="G8435" s="19"/>
      <c r="N8435" s="19"/>
      <c r="P8435" s="19"/>
      <c r="AL8435" s="19"/>
    </row>
    <row r="8436" spans="1:38" s="11" customFormat="1" x14ac:dyDescent="0.25">
      <c r="A8436" s="3"/>
      <c r="F8436" s="19"/>
      <c r="G8436" s="19"/>
      <c r="N8436" s="19"/>
      <c r="P8436" s="19"/>
      <c r="AL8436" s="19"/>
    </row>
    <row r="8437" spans="1:38" s="11" customFormat="1" x14ac:dyDescent="0.25">
      <c r="A8437" s="3"/>
      <c r="F8437" s="19"/>
      <c r="G8437" s="19"/>
      <c r="N8437" s="19"/>
      <c r="P8437" s="19"/>
      <c r="AL8437" s="19"/>
    </row>
    <row r="8438" spans="1:38" s="11" customFormat="1" x14ac:dyDescent="0.25">
      <c r="A8438" s="3"/>
      <c r="F8438" s="19"/>
      <c r="G8438" s="19"/>
      <c r="N8438" s="19"/>
      <c r="P8438" s="19"/>
      <c r="AL8438" s="19"/>
    </row>
    <row r="8439" spans="1:38" s="11" customFormat="1" x14ac:dyDescent="0.25">
      <c r="A8439" s="3"/>
      <c r="F8439" s="19"/>
      <c r="G8439" s="19"/>
      <c r="N8439" s="19"/>
      <c r="P8439" s="19"/>
      <c r="AL8439" s="19"/>
    </row>
    <row r="8440" spans="1:38" s="11" customFormat="1" x14ac:dyDescent="0.25">
      <c r="A8440" s="3"/>
      <c r="F8440" s="19"/>
      <c r="G8440" s="19"/>
      <c r="N8440" s="19"/>
      <c r="P8440" s="19"/>
      <c r="AL8440" s="19"/>
    </row>
    <row r="8441" spans="1:38" s="11" customFormat="1" x14ac:dyDescent="0.25">
      <c r="A8441" s="3"/>
      <c r="F8441" s="19"/>
      <c r="G8441" s="19"/>
      <c r="N8441" s="19"/>
      <c r="P8441" s="19"/>
      <c r="AL8441" s="19"/>
    </row>
    <row r="8442" spans="1:38" s="11" customFormat="1" x14ac:dyDescent="0.25">
      <c r="A8442" s="3"/>
      <c r="F8442" s="19"/>
      <c r="G8442" s="19"/>
      <c r="N8442" s="19"/>
      <c r="P8442" s="19"/>
      <c r="AL8442" s="19"/>
    </row>
    <row r="8443" spans="1:38" s="11" customFormat="1" x14ac:dyDescent="0.25">
      <c r="A8443" s="3"/>
      <c r="F8443" s="19"/>
      <c r="G8443" s="19"/>
      <c r="N8443" s="19"/>
      <c r="P8443" s="19"/>
      <c r="AL8443" s="19"/>
    </row>
    <row r="8444" spans="1:38" s="11" customFormat="1" x14ac:dyDescent="0.25">
      <c r="A8444" s="3"/>
      <c r="F8444" s="19"/>
      <c r="G8444" s="19"/>
      <c r="N8444" s="19"/>
      <c r="P8444" s="19"/>
      <c r="AL8444" s="19"/>
    </row>
    <row r="8445" spans="1:38" s="11" customFormat="1" x14ac:dyDescent="0.25">
      <c r="A8445" s="3"/>
      <c r="F8445" s="19"/>
      <c r="G8445" s="19"/>
      <c r="N8445" s="19"/>
      <c r="P8445" s="19"/>
      <c r="AL8445" s="19"/>
    </row>
    <row r="8446" spans="1:38" s="11" customFormat="1" x14ac:dyDescent="0.25">
      <c r="A8446" s="3"/>
      <c r="F8446" s="19"/>
      <c r="G8446" s="19"/>
      <c r="N8446" s="19"/>
      <c r="P8446" s="19"/>
      <c r="AL8446" s="19"/>
    </row>
    <row r="8447" spans="1:38" s="11" customFormat="1" x14ac:dyDescent="0.25">
      <c r="A8447" s="3"/>
      <c r="F8447" s="19"/>
      <c r="G8447" s="19"/>
      <c r="N8447" s="19"/>
      <c r="P8447" s="19"/>
      <c r="AL8447" s="19"/>
    </row>
    <row r="8448" spans="1:38" s="11" customFormat="1" x14ac:dyDescent="0.25">
      <c r="A8448" s="3"/>
      <c r="F8448" s="19"/>
      <c r="G8448" s="19"/>
      <c r="N8448" s="19"/>
      <c r="P8448" s="19"/>
      <c r="AL8448" s="19"/>
    </row>
    <row r="8449" spans="1:38" s="11" customFormat="1" x14ac:dyDescent="0.25">
      <c r="A8449" s="3"/>
      <c r="F8449" s="19"/>
      <c r="G8449" s="19"/>
      <c r="N8449" s="19"/>
      <c r="P8449" s="19"/>
      <c r="AL8449" s="19"/>
    </row>
    <row r="8450" spans="1:38" s="11" customFormat="1" x14ac:dyDescent="0.25">
      <c r="A8450" s="3"/>
      <c r="F8450" s="19"/>
      <c r="G8450" s="19"/>
      <c r="N8450" s="19"/>
      <c r="P8450" s="19"/>
      <c r="AL8450" s="19"/>
    </row>
    <row r="8451" spans="1:38" s="11" customFormat="1" x14ac:dyDescent="0.25">
      <c r="A8451" s="3"/>
      <c r="F8451" s="19"/>
      <c r="G8451" s="19"/>
      <c r="N8451" s="19"/>
      <c r="P8451" s="19"/>
      <c r="AL8451" s="19"/>
    </row>
    <row r="8452" spans="1:38" s="11" customFormat="1" x14ac:dyDescent="0.25">
      <c r="A8452" s="3"/>
      <c r="F8452" s="19"/>
      <c r="G8452" s="19"/>
      <c r="N8452" s="19"/>
      <c r="P8452" s="19"/>
      <c r="AL8452" s="19"/>
    </row>
    <row r="8453" spans="1:38" s="11" customFormat="1" x14ac:dyDescent="0.25">
      <c r="A8453" s="3"/>
      <c r="F8453" s="19"/>
      <c r="G8453" s="19"/>
      <c r="N8453" s="19"/>
      <c r="P8453" s="19"/>
      <c r="AL8453" s="19"/>
    </row>
    <row r="8454" spans="1:38" s="11" customFormat="1" x14ac:dyDescent="0.25">
      <c r="A8454" s="3"/>
      <c r="F8454" s="19"/>
      <c r="G8454" s="19"/>
      <c r="N8454" s="19"/>
      <c r="P8454" s="19"/>
      <c r="AL8454" s="19"/>
    </row>
    <row r="8455" spans="1:38" s="11" customFormat="1" x14ac:dyDescent="0.25">
      <c r="A8455" s="3"/>
      <c r="F8455" s="19"/>
      <c r="G8455" s="19"/>
      <c r="N8455" s="19"/>
      <c r="P8455" s="19"/>
      <c r="AL8455" s="19"/>
    </row>
    <row r="8456" spans="1:38" s="11" customFormat="1" x14ac:dyDescent="0.25">
      <c r="A8456" s="3"/>
      <c r="F8456" s="19"/>
      <c r="G8456" s="19"/>
      <c r="N8456" s="19"/>
      <c r="P8456" s="19"/>
      <c r="AL8456" s="19"/>
    </row>
    <row r="8457" spans="1:38" s="11" customFormat="1" x14ac:dyDescent="0.25">
      <c r="A8457" s="3"/>
      <c r="F8457" s="19"/>
      <c r="G8457" s="19"/>
      <c r="N8457" s="19"/>
      <c r="P8457" s="19"/>
      <c r="AL8457" s="19"/>
    </row>
    <row r="8458" spans="1:38" s="11" customFormat="1" x14ac:dyDescent="0.25">
      <c r="A8458" s="3"/>
      <c r="F8458" s="19"/>
      <c r="G8458" s="19"/>
      <c r="N8458" s="19"/>
      <c r="P8458" s="19"/>
      <c r="AL8458" s="19"/>
    </row>
    <row r="8459" spans="1:38" s="11" customFormat="1" x14ac:dyDescent="0.25">
      <c r="A8459" s="3"/>
      <c r="F8459" s="19"/>
      <c r="G8459" s="19"/>
      <c r="N8459" s="19"/>
      <c r="P8459" s="19"/>
      <c r="AL8459" s="19"/>
    </row>
    <row r="8460" spans="1:38" s="11" customFormat="1" x14ac:dyDescent="0.25">
      <c r="A8460" s="3"/>
      <c r="F8460" s="19"/>
      <c r="G8460" s="19"/>
      <c r="N8460" s="19"/>
      <c r="P8460" s="19"/>
      <c r="AL8460" s="19"/>
    </row>
    <row r="8461" spans="1:38" s="11" customFormat="1" x14ac:dyDescent="0.25">
      <c r="A8461" s="3"/>
      <c r="F8461" s="19"/>
      <c r="G8461" s="19"/>
      <c r="N8461" s="19"/>
      <c r="P8461" s="19"/>
      <c r="AL8461" s="19"/>
    </row>
    <row r="8462" spans="1:38" s="11" customFormat="1" x14ac:dyDescent="0.25">
      <c r="A8462" s="3"/>
      <c r="F8462" s="19"/>
      <c r="G8462" s="19"/>
      <c r="N8462" s="19"/>
      <c r="P8462" s="19"/>
      <c r="AL8462" s="19"/>
    </row>
    <row r="8463" spans="1:38" s="11" customFormat="1" x14ac:dyDescent="0.25">
      <c r="A8463" s="3"/>
      <c r="F8463" s="19"/>
      <c r="G8463" s="19"/>
      <c r="N8463" s="19"/>
      <c r="P8463" s="19"/>
      <c r="AL8463" s="19"/>
    </row>
    <row r="8464" spans="1:38" s="11" customFormat="1" x14ac:dyDescent="0.25">
      <c r="A8464" s="3"/>
      <c r="F8464" s="19"/>
      <c r="G8464" s="19"/>
      <c r="N8464" s="19"/>
      <c r="P8464" s="19"/>
      <c r="AL8464" s="19"/>
    </row>
    <row r="8465" spans="1:38" s="11" customFormat="1" x14ac:dyDescent="0.25">
      <c r="A8465" s="3"/>
      <c r="F8465" s="19"/>
      <c r="G8465" s="19"/>
      <c r="N8465" s="19"/>
      <c r="P8465" s="19"/>
      <c r="AL8465" s="19"/>
    </row>
    <row r="8466" spans="1:38" s="11" customFormat="1" x14ac:dyDescent="0.25">
      <c r="A8466" s="3"/>
      <c r="F8466" s="19"/>
      <c r="G8466" s="19"/>
      <c r="N8466" s="19"/>
      <c r="P8466" s="19"/>
      <c r="AL8466" s="19"/>
    </row>
    <row r="8467" spans="1:38" s="11" customFormat="1" x14ac:dyDescent="0.25">
      <c r="A8467" s="3"/>
      <c r="F8467" s="19"/>
      <c r="G8467" s="19"/>
      <c r="N8467" s="19"/>
      <c r="P8467" s="19"/>
      <c r="AL8467" s="19"/>
    </row>
    <row r="8468" spans="1:38" s="11" customFormat="1" x14ac:dyDescent="0.25">
      <c r="A8468" s="3"/>
      <c r="F8468" s="19"/>
      <c r="G8468" s="19"/>
      <c r="N8468" s="19"/>
      <c r="P8468" s="19"/>
      <c r="AL8468" s="19"/>
    </row>
    <row r="8469" spans="1:38" s="11" customFormat="1" x14ac:dyDescent="0.25">
      <c r="A8469" s="3"/>
      <c r="F8469" s="19"/>
      <c r="G8469" s="19"/>
      <c r="N8469" s="19"/>
      <c r="P8469" s="19"/>
      <c r="AL8469" s="19"/>
    </row>
    <row r="8470" spans="1:38" s="11" customFormat="1" x14ac:dyDescent="0.25">
      <c r="A8470" s="3"/>
      <c r="F8470" s="19"/>
      <c r="G8470" s="19"/>
      <c r="N8470" s="19"/>
      <c r="P8470" s="19"/>
      <c r="AL8470" s="19"/>
    </row>
    <row r="8471" spans="1:38" s="11" customFormat="1" x14ac:dyDescent="0.25">
      <c r="A8471" s="3"/>
      <c r="F8471" s="19"/>
      <c r="G8471" s="19"/>
      <c r="N8471" s="19"/>
      <c r="P8471" s="19"/>
      <c r="AL8471" s="19"/>
    </row>
    <row r="8472" spans="1:38" s="11" customFormat="1" x14ac:dyDescent="0.25">
      <c r="A8472" s="3"/>
      <c r="F8472" s="19"/>
      <c r="G8472" s="19"/>
      <c r="N8472" s="19"/>
      <c r="P8472" s="19"/>
      <c r="AL8472" s="19"/>
    </row>
    <row r="8473" spans="1:38" s="11" customFormat="1" x14ac:dyDescent="0.25">
      <c r="A8473" s="3"/>
      <c r="F8473" s="19"/>
      <c r="G8473" s="19"/>
      <c r="N8473" s="19"/>
      <c r="P8473" s="19"/>
      <c r="AL8473" s="19"/>
    </row>
    <row r="8474" spans="1:38" s="11" customFormat="1" x14ac:dyDescent="0.25">
      <c r="A8474" s="3"/>
      <c r="F8474" s="19"/>
      <c r="G8474" s="19"/>
      <c r="N8474" s="19"/>
      <c r="P8474" s="19"/>
      <c r="AL8474" s="19"/>
    </row>
    <row r="8475" spans="1:38" s="11" customFormat="1" x14ac:dyDescent="0.25">
      <c r="A8475" s="3"/>
      <c r="F8475" s="19"/>
      <c r="G8475" s="19"/>
      <c r="N8475" s="19"/>
      <c r="P8475" s="19"/>
      <c r="AL8475" s="19"/>
    </row>
    <row r="8476" spans="1:38" s="11" customFormat="1" x14ac:dyDescent="0.25">
      <c r="A8476" s="3"/>
      <c r="F8476" s="19"/>
      <c r="G8476" s="19"/>
      <c r="N8476" s="19"/>
      <c r="P8476" s="19"/>
      <c r="AL8476" s="19"/>
    </row>
    <row r="8477" spans="1:38" s="11" customFormat="1" x14ac:dyDescent="0.25">
      <c r="A8477" s="3"/>
      <c r="F8477" s="19"/>
      <c r="G8477" s="19"/>
      <c r="N8477" s="19"/>
      <c r="P8477" s="19"/>
      <c r="AL8477" s="19"/>
    </row>
    <row r="8478" spans="1:38" s="11" customFormat="1" x14ac:dyDescent="0.25">
      <c r="A8478" s="3"/>
      <c r="F8478" s="19"/>
      <c r="G8478" s="19"/>
      <c r="N8478" s="19"/>
      <c r="P8478" s="19"/>
      <c r="AL8478" s="19"/>
    </row>
    <row r="8479" spans="1:38" s="11" customFormat="1" x14ac:dyDescent="0.25">
      <c r="A8479" s="3"/>
      <c r="F8479" s="19"/>
      <c r="G8479" s="19"/>
      <c r="N8479" s="19"/>
      <c r="P8479" s="19"/>
      <c r="AL8479" s="19"/>
    </row>
    <row r="8480" spans="1:38" s="11" customFormat="1" x14ac:dyDescent="0.25">
      <c r="A8480" s="3"/>
      <c r="F8480" s="19"/>
      <c r="G8480" s="19"/>
      <c r="N8480" s="19"/>
      <c r="P8480" s="19"/>
      <c r="AL8480" s="19"/>
    </row>
    <row r="8481" spans="1:38" s="11" customFormat="1" x14ac:dyDescent="0.25">
      <c r="A8481" s="3"/>
      <c r="F8481" s="19"/>
      <c r="G8481" s="19"/>
      <c r="N8481" s="19"/>
      <c r="P8481" s="19"/>
      <c r="AL8481" s="19"/>
    </row>
    <row r="8482" spans="1:38" s="11" customFormat="1" x14ac:dyDescent="0.25">
      <c r="A8482" s="3"/>
      <c r="F8482" s="19"/>
      <c r="G8482" s="19"/>
      <c r="N8482" s="19"/>
      <c r="P8482" s="19"/>
      <c r="AL8482" s="19"/>
    </row>
    <row r="8483" spans="1:38" s="11" customFormat="1" x14ac:dyDescent="0.25">
      <c r="A8483" s="3"/>
      <c r="F8483" s="19"/>
      <c r="G8483" s="19"/>
      <c r="N8483" s="19"/>
      <c r="P8483" s="19"/>
      <c r="AL8483" s="19"/>
    </row>
    <row r="8484" spans="1:38" s="11" customFormat="1" x14ac:dyDescent="0.25">
      <c r="A8484" s="3"/>
      <c r="F8484" s="19"/>
      <c r="G8484" s="19"/>
      <c r="N8484" s="19"/>
      <c r="P8484" s="19"/>
      <c r="AL8484" s="19"/>
    </row>
    <row r="8485" spans="1:38" s="11" customFormat="1" x14ac:dyDescent="0.25">
      <c r="A8485" s="3"/>
      <c r="F8485" s="19"/>
      <c r="G8485" s="19"/>
      <c r="N8485" s="19"/>
      <c r="P8485" s="19"/>
      <c r="AL8485" s="19"/>
    </row>
    <row r="8486" spans="1:38" s="11" customFormat="1" x14ac:dyDescent="0.25">
      <c r="A8486" s="3"/>
      <c r="F8486" s="19"/>
      <c r="G8486" s="19"/>
      <c r="N8486" s="19"/>
      <c r="P8486" s="19"/>
      <c r="AL8486" s="19"/>
    </row>
    <row r="8487" spans="1:38" s="11" customFormat="1" x14ac:dyDescent="0.25">
      <c r="A8487" s="3"/>
      <c r="F8487" s="19"/>
      <c r="G8487" s="19"/>
      <c r="N8487" s="19"/>
      <c r="P8487" s="19"/>
      <c r="AL8487" s="19"/>
    </row>
    <row r="8488" spans="1:38" s="11" customFormat="1" x14ac:dyDescent="0.25">
      <c r="A8488" s="3"/>
      <c r="F8488" s="19"/>
      <c r="G8488" s="19"/>
      <c r="N8488" s="19"/>
      <c r="P8488" s="19"/>
      <c r="AL8488" s="19"/>
    </row>
    <row r="8489" spans="1:38" s="11" customFormat="1" x14ac:dyDescent="0.25">
      <c r="A8489" s="3"/>
      <c r="F8489" s="19"/>
      <c r="G8489" s="19"/>
      <c r="N8489" s="19"/>
      <c r="P8489" s="19"/>
      <c r="AL8489" s="19"/>
    </row>
    <row r="8490" spans="1:38" s="11" customFormat="1" x14ac:dyDescent="0.25">
      <c r="A8490" s="3"/>
      <c r="F8490" s="19"/>
      <c r="G8490" s="19"/>
      <c r="N8490" s="19"/>
      <c r="P8490" s="19"/>
      <c r="AL8490" s="19"/>
    </row>
    <row r="8491" spans="1:38" s="11" customFormat="1" x14ac:dyDescent="0.25">
      <c r="A8491" s="3"/>
      <c r="F8491" s="19"/>
      <c r="G8491" s="19"/>
      <c r="N8491" s="19"/>
      <c r="P8491" s="19"/>
      <c r="AL8491" s="19"/>
    </row>
    <row r="8492" spans="1:38" s="11" customFormat="1" x14ac:dyDescent="0.25">
      <c r="A8492" s="3"/>
      <c r="F8492" s="19"/>
      <c r="G8492" s="19"/>
      <c r="N8492" s="19"/>
      <c r="P8492" s="19"/>
      <c r="AL8492" s="19"/>
    </row>
    <row r="8493" spans="1:38" s="11" customFormat="1" x14ac:dyDescent="0.25">
      <c r="A8493" s="3"/>
      <c r="F8493" s="19"/>
      <c r="G8493" s="19"/>
      <c r="N8493" s="19"/>
      <c r="P8493" s="19"/>
      <c r="AL8493" s="19"/>
    </row>
    <row r="8494" spans="1:38" s="11" customFormat="1" x14ac:dyDescent="0.25">
      <c r="A8494" s="3"/>
      <c r="F8494" s="19"/>
      <c r="G8494" s="19"/>
      <c r="N8494" s="19"/>
      <c r="P8494" s="19"/>
      <c r="AL8494" s="19"/>
    </row>
    <row r="8495" spans="1:38" s="11" customFormat="1" x14ac:dyDescent="0.25">
      <c r="A8495" s="3"/>
      <c r="F8495" s="19"/>
      <c r="G8495" s="19"/>
      <c r="N8495" s="19"/>
      <c r="P8495" s="19"/>
      <c r="AL8495" s="19"/>
    </row>
    <row r="8496" spans="1:38" s="11" customFormat="1" x14ac:dyDescent="0.25">
      <c r="A8496" s="3"/>
      <c r="F8496" s="19"/>
      <c r="G8496" s="19"/>
      <c r="N8496" s="19"/>
      <c r="P8496" s="19"/>
      <c r="AL8496" s="19"/>
    </row>
    <row r="8497" spans="1:38" s="11" customFormat="1" x14ac:dyDescent="0.25">
      <c r="A8497" s="3"/>
      <c r="F8497" s="19"/>
      <c r="G8497" s="19"/>
      <c r="N8497" s="19"/>
      <c r="P8497" s="19"/>
      <c r="AL8497" s="19"/>
    </row>
    <row r="8498" spans="1:38" s="11" customFormat="1" x14ac:dyDescent="0.25">
      <c r="A8498" s="3"/>
      <c r="F8498" s="19"/>
      <c r="G8498" s="19"/>
      <c r="N8498" s="19"/>
      <c r="P8498" s="19"/>
      <c r="AL8498" s="19"/>
    </row>
    <row r="8499" spans="1:38" s="11" customFormat="1" x14ac:dyDescent="0.25">
      <c r="A8499" s="3"/>
      <c r="F8499" s="19"/>
      <c r="G8499" s="19"/>
      <c r="N8499" s="19"/>
      <c r="P8499" s="19"/>
      <c r="AL8499" s="19"/>
    </row>
    <row r="8500" spans="1:38" s="11" customFormat="1" x14ac:dyDescent="0.25">
      <c r="A8500" s="3"/>
      <c r="F8500" s="19"/>
      <c r="G8500" s="19"/>
      <c r="N8500" s="19"/>
      <c r="P8500" s="19"/>
      <c r="AL8500" s="19"/>
    </row>
    <row r="8501" spans="1:38" s="11" customFormat="1" x14ac:dyDescent="0.25">
      <c r="A8501" s="3"/>
      <c r="F8501" s="19"/>
      <c r="G8501" s="19"/>
      <c r="N8501" s="19"/>
      <c r="P8501" s="19"/>
      <c r="AL8501" s="19"/>
    </row>
    <row r="8502" spans="1:38" s="11" customFormat="1" x14ac:dyDescent="0.25">
      <c r="A8502" s="3"/>
      <c r="F8502" s="19"/>
      <c r="G8502" s="19"/>
      <c r="N8502" s="19"/>
      <c r="P8502" s="19"/>
      <c r="AL8502" s="19"/>
    </row>
    <row r="8503" spans="1:38" s="11" customFormat="1" x14ac:dyDescent="0.25">
      <c r="A8503" s="3"/>
      <c r="F8503" s="19"/>
      <c r="G8503" s="19"/>
      <c r="N8503" s="19"/>
      <c r="P8503" s="19"/>
      <c r="AL8503" s="19"/>
    </row>
    <row r="8504" spans="1:38" s="11" customFormat="1" x14ac:dyDescent="0.25">
      <c r="A8504" s="3"/>
      <c r="F8504" s="19"/>
      <c r="G8504" s="19"/>
      <c r="N8504" s="19"/>
      <c r="P8504" s="19"/>
      <c r="AL8504" s="19"/>
    </row>
    <row r="8505" spans="1:38" s="11" customFormat="1" x14ac:dyDescent="0.25">
      <c r="A8505" s="3"/>
      <c r="F8505" s="19"/>
      <c r="G8505" s="19"/>
      <c r="N8505" s="19"/>
      <c r="P8505" s="19"/>
      <c r="AL8505" s="19"/>
    </row>
    <row r="8506" spans="1:38" s="11" customFormat="1" x14ac:dyDescent="0.25">
      <c r="A8506" s="3"/>
      <c r="F8506" s="19"/>
      <c r="G8506" s="19"/>
      <c r="N8506" s="19"/>
      <c r="P8506" s="19"/>
      <c r="AL8506" s="19"/>
    </row>
    <row r="8507" spans="1:38" s="11" customFormat="1" x14ac:dyDescent="0.25">
      <c r="A8507" s="3"/>
      <c r="F8507" s="19"/>
      <c r="G8507" s="19"/>
      <c r="N8507" s="19"/>
      <c r="P8507" s="19"/>
      <c r="AL8507" s="19"/>
    </row>
    <row r="8508" spans="1:38" s="11" customFormat="1" x14ac:dyDescent="0.25">
      <c r="A8508" s="3"/>
      <c r="F8508" s="19"/>
      <c r="G8508" s="19"/>
      <c r="N8508" s="19"/>
      <c r="P8508" s="19"/>
      <c r="AL8508" s="19"/>
    </row>
    <row r="8509" spans="1:38" s="11" customFormat="1" x14ac:dyDescent="0.25">
      <c r="A8509" s="3"/>
      <c r="F8509" s="19"/>
      <c r="G8509" s="19"/>
      <c r="N8509" s="19"/>
      <c r="P8509" s="19"/>
      <c r="AL8509" s="19"/>
    </row>
    <row r="8510" spans="1:38" s="11" customFormat="1" x14ac:dyDescent="0.25">
      <c r="A8510" s="3"/>
      <c r="F8510" s="19"/>
      <c r="G8510" s="19"/>
      <c r="N8510" s="19"/>
      <c r="P8510" s="19"/>
      <c r="AL8510" s="19"/>
    </row>
    <row r="8511" spans="1:38" s="11" customFormat="1" x14ac:dyDescent="0.25">
      <c r="A8511" s="3"/>
      <c r="F8511" s="19"/>
      <c r="G8511" s="19"/>
      <c r="N8511" s="19"/>
      <c r="P8511" s="19"/>
      <c r="AL8511" s="19"/>
    </row>
    <row r="8512" spans="1:38" s="11" customFormat="1" x14ac:dyDescent="0.25">
      <c r="A8512" s="3"/>
      <c r="F8512" s="19"/>
      <c r="G8512" s="19"/>
      <c r="N8512" s="19"/>
      <c r="P8512" s="19"/>
      <c r="AL8512" s="19"/>
    </row>
    <row r="8513" spans="1:38" s="11" customFormat="1" x14ac:dyDescent="0.25">
      <c r="A8513" s="3"/>
      <c r="F8513" s="19"/>
      <c r="G8513" s="19"/>
      <c r="N8513" s="19"/>
      <c r="P8513" s="19"/>
      <c r="AL8513" s="19"/>
    </row>
    <row r="8514" spans="1:38" s="11" customFormat="1" x14ac:dyDescent="0.25">
      <c r="A8514" s="3"/>
      <c r="F8514" s="19"/>
      <c r="G8514" s="19"/>
      <c r="N8514" s="19"/>
      <c r="P8514" s="19"/>
      <c r="AL8514" s="19"/>
    </row>
    <row r="8515" spans="1:38" s="11" customFormat="1" x14ac:dyDescent="0.25">
      <c r="A8515" s="3"/>
      <c r="F8515" s="19"/>
      <c r="G8515" s="19"/>
      <c r="N8515" s="19"/>
      <c r="P8515" s="19"/>
      <c r="AL8515" s="19"/>
    </row>
    <row r="8516" spans="1:38" s="11" customFormat="1" x14ac:dyDescent="0.25">
      <c r="A8516" s="3"/>
      <c r="F8516" s="19"/>
      <c r="G8516" s="19"/>
      <c r="N8516" s="19"/>
      <c r="P8516" s="19"/>
      <c r="AL8516" s="19"/>
    </row>
    <row r="8517" spans="1:38" s="11" customFormat="1" x14ac:dyDescent="0.25">
      <c r="A8517" s="3"/>
      <c r="F8517" s="19"/>
      <c r="G8517" s="19"/>
      <c r="N8517" s="19"/>
      <c r="P8517" s="19"/>
      <c r="AL8517" s="19"/>
    </row>
    <row r="8518" spans="1:38" s="11" customFormat="1" x14ac:dyDescent="0.25">
      <c r="A8518" s="3"/>
      <c r="F8518" s="19"/>
      <c r="G8518" s="19"/>
      <c r="N8518" s="19"/>
      <c r="P8518" s="19"/>
      <c r="AL8518" s="19"/>
    </row>
    <row r="8519" spans="1:38" s="11" customFormat="1" x14ac:dyDescent="0.25">
      <c r="A8519" s="3"/>
      <c r="F8519" s="19"/>
      <c r="G8519" s="19"/>
      <c r="N8519" s="19"/>
      <c r="P8519" s="19"/>
      <c r="AL8519" s="19"/>
    </row>
    <row r="8520" spans="1:38" s="11" customFormat="1" x14ac:dyDescent="0.25">
      <c r="A8520" s="3"/>
      <c r="F8520" s="19"/>
      <c r="G8520" s="19"/>
      <c r="N8520" s="19"/>
      <c r="P8520" s="19"/>
      <c r="AL8520" s="19"/>
    </row>
    <row r="8521" spans="1:38" s="11" customFormat="1" x14ac:dyDescent="0.25">
      <c r="A8521" s="3"/>
      <c r="F8521" s="19"/>
      <c r="G8521" s="19"/>
      <c r="N8521" s="19"/>
      <c r="P8521" s="19"/>
      <c r="AL8521" s="19"/>
    </row>
    <row r="8522" spans="1:38" s="11" customFormat="1" x14ac:dyDescent="0.25">
      <c r="A8522" s="3"/>
      <c r="F8522" s="19"/>
      <c r="G8522" s="19"/>
      <c r="N8522" s="19"/>
      <c r="P8522" s="19"/>
      <c r="AL8522" s="19"/>
    </row>
    <row r="8523" spans="1:38" s="11" customFormat="1" x14ac:dyDescent="0.25">
      <c r="A8523" s="3"/>
      <c r="F8523" s="19"/>
      <c r="G8523" s="19"/>
      <c r="N8523" s="19"/>
      <c r="P8523" s="19"/>
      <c r="AL8523" s="19"/>
    </row>
    <row r="8524" spans="1:38" s="11" customFormat="1" x14ac:dyDescent="0.25">
      <c r="A8524" s="3"/>
      <c r="F8524" s="19"/>
      <c r="G8524" s="19"/>
      <c r="N8524" s="19"/>
      <c r="P8524" s="19"/>
      <c r="AL8524" s="19"/>
    </row>
    <row r="8525" spans="1:38" s="11" customFormat="1" x14ac:dyDescent="0.25">
      <c r="A8525" s="3"/>
      <c r="F8525" s="19"/>
      <c r="G8525" s="19"/>
      <c r="N8525" s="19"/>
      <c r="P8525" s="19"/>
      <c r="AL8525" s="19"/>
    </row>
    <row r="8526" spans="1:38" s="11" customFormat="1" x14ac:dyDescent="0.25">
      <c r="A8526" s="3"/>
      <c r="F8526" s="19"/>
      <c r="G8526" s="19"/>
      <c r="N8526" s="19"/>
      <c r="P8526" s="19"/>
      <c r="AL8526" s="19"/>
    </row>
    <row r="8527" spans="1:38" s="11" customFormat="1" x14ac:dyDescent="0.25">
      <c r="A8527" s="3"/>
      <c r="F8527" s="19"/>
      <c r="G8527" s="19"/>
      <c r="N8527" s="19"/>
      <c r="P8527" s="19"/>
      <c r="AL8527" s="19"/>
    </row>
    <row r="8528" spans="1:38" s="11" customFormat="1" x14ac:dyDescent="0.25">
      <c r="A8528" s="3"/>
      <c r="F8528" s="19"/>
      <c r="G8528" s="19"/>
      <c r="N8528" s="19"/>
      <c r="P8528" s="19"/>
      <c r="AL8528" s="19"/>
    </row>
    <row r="8529" spans="1:38" s="11" customFormat="1" x14ac:dyDescent="0.25">
      <c r="A8529" s="3"/>
      <c r="F8529" s="19"/>
      <c r="G8529" s="19"/>
      <c r="N8529" s="19"/>
      <c r="P8529" s="19"/>
      <c r="AL8529" s="19"/>
    </row>
    <row r="8530" spans="1:38" s="11" customFormat="1" x14ac:dyDescent="0.25">
      <c r="A8530" s="3"/>
      <c r="F8530" s="19"/>
      <c r="G8530" s="19"/>
      <c r="N8530" s="19"/>
      <c r="P8530" s="19"/>
      <c r="AL8530" s="19"/>
    </row>
    <row r="8531" spans="1:38" s="11" customFormat="1" x14ac:dyDescent="0.25">
      <c r="A8531" s="3"/>
      <c r="F8531" s="19"/>
      <c r="G8531" s="19"/>
      <c r="N8531" s="19"/>
      <c r="P8531" s="19"/>
      <c r="AL8531" s="19"/>
    </row>
    <row r="8532" spans="1:38" s="11" customFormat="1" x14ac:dyDescent="0.25">
      <c r="A8532" s="3"/>
      <c r="F8532" s="19"/>
      <c r="G8532" s="19"/>
      <c r="N8532" s="19"/>
      <c r="P8532" s="19"/>
      <c r="AL8532" s="19"/>
    </row>
    <row r="8533" spans="1:38" s="11" customFormat="1" x14ac:dyDescent="0.25">
      <c r="A8533" s="3"/>
      <c r="F8533" s="19"/>
      <c r="G8533" s="19"/>
      <c r="N8533" s="19"/>
      <c r="P8533" s="19"/>
      <c r="AL8533" s="19"/>
    </row>
    <row r="8534" spans="1:38" s="11" customFormat="1" x14ac:dyDescent="0.25">
      <c r="A8534" s="3"/>
      <c r="F8534" s="19"/>
      <c r="G8534" s="19"/>
      <c r="N8534" s="19"/>
      <c r="P8534" s="19"/>
      <c r="AL8534" s="19"/>
    </row>
    <row r="8535" spans="1:38" s="11" customFormat="1" x14ac:dyDescent="0.25">
      <c r="A8535" s="3"/>
      <c r="F8535" s="19"/>
      <c r="G8535" s="19"/>
      <c r="N8535" s="19"/>
      <c r="P8535" s="19"/>
      <c r="AL8535" s="19"/>
    </row>
    <row r="8536" spans="1:38" s="11" customFormat="1" x14ac:dyDescent="0.25">
      <c r="A8536" s="3"/>
      <c r="F8536" s="19"/>
      <c r="G8536" s="19"/>
      <c r="N8536" s="19"/>
      <c r="P8536" s="19"/>
      <c r="AL8536" s="19"/>
    </row>
    <row r="8537" spans="1:38" s="11" customFormat="1" x14ac:dyDescent="0.25">
      <c r="A8537" s="3"/>
      <c r="F8537" s="19"/>
      <c r="G8537" s="19"/>
      <c r="N8537" s="19"/>
      <c r="P8537" s="19"/>
      <c r="AL8537" s="19"/>
    </row>
    <row r="8538" spans="1:38" s="11" customFormat="1" x14ac:dyDescent="0.25">
      <c r="A8538" s="3"/>
      <c r="F8538" s="19"/>
      <c r="G8538" s="19"/>
      <c r="N8538" s="19"/>
      <c r="P8538" s="19"/>
      <c r="AL8538" s="19"/>
    </row>
    <row r="8539" spans="1:38" s="11" customFormat="1" x14ac:dyDescent="0.25">
      <c r="A8539" s="3"/>
      <c r="F8539" s="19"/>
      <c r="G8539" s="19"/>
      <c r="N8539" s="19"/>
      <c r="P8539" s="19"/>
      <c r="AL8539" s="19"/>
    </row>
    <row r="8540" spans="1:38" s="11" customFormat="1" x14ac:dyDescent="0.25">
      <c r="A8540" s="3"/>
      <c r="F8540" s="19"/>
      <c r="G8540" s="19"/>
      <c r="N8540" s="19"/>
      <c r="P8540" s="19"/>
      <c r="AL8540" s="19"/>
    </row>
    <row r="8541" spans="1:38" s="11" customFormat="1" x14ac:dyDescent="0.25">
      <c r="A8541" s="3"/>
      <c r="F8541" s="19"/>
      <c r="G8541" s="19"/>
      <c r="N8541" s="19"/>
      <c r="P8541" s="19"/>
      <c r="AL8541" s="19"/>
    </row>
    <row r="8542" spans="1:38" s="11" customFormat="1" x14ac:dyDescent="0.25">
      <c r="A8542" s="3"/>
      <c r="F8542" s="19"/>
      <c r="G8542" s="19"/>
      <c r="N8542" s="19"/>
      <c r="P8542" s="19"/>
      <c r="AL8542" s="19"/>
    </row>
    <row r="8543" spans="1:38" s="11" customFormat="1" x14ac:dyDescent="0.25">
      <c r="A8543" s="3"/>
      <c r="F8543" s="19"/>
      <c r="G8543" s="19"/>
      <c r="N8543" s="19"/>
      <c r="P8543" s="19"/>
      <c r="AL8543" s="19"/>
    </row>
    <row r="8544" spans="1:38" s="11" customFormat="1" x14ac:dyDescent="0.25">
      <c r="A8544" s="3"/>
      <c r="F8544" s="19"/>
      <c r="G8544" s="19"/>
      <c r="N8544" s="19"/>
      <c r="P8544" s="19"/>
      <c r="AL8544" s="19"/>
    </row>
    <row r="8545" spans="1:38" s="11" customFormat="1" x14ac:dyDescent="0.25">
      <c r="A8545" s="3"/>
      <c r="F8545" s="19"/>
      <c r="G8545" s="19"/>
      <c r="N8545" s="19"/>
      <c r="P8545" s="19"/>
      <c r="AL8545" s="19"/>
    </row>
    <row r="8546" spans="1:38" s="11" customFormat="1" x14ac:dyDescent="0.25">
      <c r="A8546" s="3"/>
      <c r="F8546" s="19"/>
      <c r="G8546" s="19"/>
      <c r="N8546" s="19"/>
      <c r="P8546" s="19"/>
      <c r="AL8546" s="19"/>
    </row>
    <row r="8547" spans="1:38" s="11" customFormat="1" x14ac:dyDescent="0.25">
      <c r="A8547" s="3"/>
      <c r="F8547" s="19"/>
      <c r="G8547" s="19"/>
      <c r="N8547" s="19"/>
      <c r="P8547" s="19"/>
      <c r="AL8547" s="19"/>
    </row>
    <row r="8548" spans="1:38" s="11" customFormat="1" x14ac:dyDescent="0.25">
      <c r="A8548" s="3"/>
      <c r="F8548" s="19"/>
      <c r="G8548" s="19"/>
      <c r="N8548" s="19"/>
      <c r="P8548" s="19"/>
      <c r="AL8548" s="19"/>
    </row>
    <row r="8549" spans="1:38" s="11" customFormat="1" x14ac:dyDescent="0.25">
      <c r="A8549" s="3"/>
      <c r="F8549" s="19"/>
      <c r="G8549" s="19"/>
      <c r="N8549" s="19"/>
      <c r="P8549" s="19"/>
      <c r="AL8549" s="19"/>
    </row>
    <row r="8550" spans="1:38" s="11" customFormat="1" x14ac:dyDescent="0.25">
      <c r="A8550" s="3"/>
      <c r="F8550" s="19"/>
      <c r="G8550" s="19"/>
      <c r="N8550" s="19"/>
      <c r="P8550" s="19"/>
      <c r="AL8550" s="19"/>
    </row>
    <row r="8551" spans="1:38" s="11" customFormat="1" x14ac:dyDescent="0.25">
      <c r="A8551" s="3"/>
      <c r="F8551" s="19"/>
      <c r="G8551" s="19"/>
      <c r="N8551" s="19"/>
      <c r="P8551" s="19"/>
      <c r="AL8551" s="19"/>
    </row>
    <row r="8552" spans="1:38" s="11" customFormat="1" x14ac:dyDescent="0.25">
      <c r="A8552" s="3"/>
      <c r="F8552" s="19"/>
      <c r="G8552" s="19"/>
      <c r="N8552" s="19"/>
      <c r="P8552" s="19"/>
      <c r="AL8552" s="19"/>
    </row>
    <row r="8553" spans="1:38" s="11" customFormat="1" x14ac:dyDescent="0.25">
      <c r="A8553" s="3"/>
      <c r="F8553" s="19"/>
      <c r="G8553" s="19"/>
      <c r="N8553" s="19"/>
      <c r="P8553" s="19"/>
      <c r="AL8553" s="19"/>
    </row>
    <row r="8554" spans="1:38" s="11" customFormat="1" x14ac:dyDescent="0.25">
      <c r="A8554" s="3"/>
      <c r="F8554" s="19"/>
      <c r="G8554" s="19"/>
      <c r="N8554" s="19"/>
      <c r="P8554" s="19"/>
      <c r="AL8554" s="19"/>
    </row>
    <row r="8555" spans="1:38" s="11" customFormat="1" x14ac:dyDescent="0.25">
      <c r="A8555" s="3"/>
      <c r="F8555" s="19"/>
      <c r="G8555" s="19"/>
      <c r="N8555" s="19"/>
      <c r="P8555" s="19"/>
      <c r="AL8555" s="19"/>
    </row>
    <row r="8556" spans="1:38" s="11" customFormat="1" x14ac:dyDescent="0.25">
      <c r="A8556" s="3"/>
      <c r="F8556" s="19"/>
      <c r="G8556" s="19"/>
      <c r="N8556" s="19"/>
      <c r="P8556" s="19"/>
      <c r="AL8556" s="19"/>
    </row>
    <row r="8557" spans="1:38" s="11" customFormat="1" x14ac:dyDescent="0.25">
      <c r="A8557" s="3"/>
      <c r="F8557" s="19"/>
      <c r="G8557" s="19"/>
      <c r="N8557" s="19"/>
      <c r="P8557" s="19"/>
      <c r="AL8557" s="19"/>
    </row>
    <row r="8558" spans="1:38" s="11" customFormat="1" x14ac:dyDescent="0.25">
      <c r="A8558" s="3"/>
      <c r="F8558" s="19"/>
      <c r="G8558" s="19"/>
      <c r="N8558" s="19"/>
      <c r="P8558" s="19"/>
      <c r="AL8558" s="19"/>
    </row>
    <row r="8559" spans="1:38" s="11" customFormat="1" x14ac:dyDescent="0.25">
      <c r="A8559" s="3"/>
      <c r="F8559" s="19"/>
      <c r="G8559" s="19"/>
      <c r="N8559" s="19"/>
      <c r="P8559" s="19"/>
      <c r="AL8559" s="19"/>
    </row>
    <row r="8560" spans="1:38" s="11" customFormat="1" x14ac:dyDescent="0.25">
      <c r="A8560" s="3"/>
      <c r="F8560" s="19"/>
      <c r="G8560" s="19"/>
      <c r="N8560" s="19"/>
      <c r="P8560" s="19"/>
      <c r="AL8560" s="19"/>
    </row>
    <row r="8561" spans="1:38" s="11" customFormat="1" x14ac:dyDescent="0.25">
      <c r="A8561" s="3"/>
      <c r="F8561" s="19"/>
      <c r="G8561" s="19"/>
      <c r="N8561" s="19"/>
      <c r="P8561" s="19"/>
      <c r="AL8561" s="19"/>
    </row>
    <row r="8562" spans="1:38" s="11" customFormat="1" x14ac:dyDescent="0.25">
      <c r="A8562" s="3"/>
      <c r="F8562" s="19"/>
      <c r="G8562" s="19"/>
      <c r="N8562" s="19"/>
      <c r="P8562" s="19"/>
      <c r="AL8562" s="19"/>
    </row>
    <row r="8563" spans="1:38" s="11" customFormat="1" x14ac:dyDescent="0.25">
      <c r="A8563" s="3"/>
      <c r="F8563" s="19"/>
      <c r="G8563" s="19"/>
      <c r="N8563" s="19"/>
      <c r="P8563" s="19"/>
      <c r="AL8563" s="19"/>
    </row>
    <row r="8564" spans="1:38" s="11" customFormat="1" x14ac:dyDescent="0.25">
      <c r="A8564" s="3"/>
      <c r="F8564" s="19"/>
      <c r="G8564" s="19"/>
      <c r="N8564" s="19"/>
      <c r="P8564" s="19"/>
      <c r="AL8564" s="19"/>
    </row>
    <row r="8565" spans="1:38" s="11" customFormat="1" x14ac:dyDescent="0.25">
      <c r="A8565" s="3"/>
      <c r="F8565" s="19"/>
      <c r="G8565" s="19"/>
      <c r="N8565" s="19"/>
      <c r="P8565" s="19"/>
      <c r="AL8565" s="19"/>
    </row>
    <row r="8566" spans="1:38" s="11" customFormat="1" x14ac:dyDescent="0.25">
      <c r="A8566" s="3"/>
      <c r="F8566" s="19"/>
      <c r="G8566" s="19"/>
      <c r="N8566" s="19"/>
      <c r="P8566" s="19"/>
      <c r="AL8566" s="19"/>
    </row>
    <row r="8567" spans="1:38" s="11" customFormat="1" x14ac:dyDescent="0.25">
      <c r="A8567" s="3"/>
      <c r="F8567" s="19"/>
      <c r="G8567" s="19"/>
      <c r="N8567" s="19"/>
      <c r="P8567" s="19"/>
      <c r="AL8567" s="19"/>
    </row>
    <row r="8568" spans="1:38" s="11" customFormat="1" x14ac:dyDescent="0.25">
      <c r="A8568" s="3"/>
      <c r="F8568" s="19"/>
      <c r="G8568" s="19"/>
      <c r="N8568" s="19"/>
      <c r="P8568" s="19"/>
      <c r="AL8568" s="19"/>
    </row>
    <row r="8569" spans="1:38" s="11" customFormat="1" x14ac:dyDescent="0.25">
      <c r="A8569" s="3"/>
      <c r="F8569" s="19"/>
      <c r="G8569" s="19"/>
      <c r="N8569" s="19"/>
      <c r="P8569" s="19"/>
      <c r="AL8569" s="19"/>
    </row>
    <row r="8570" spans="1:38" s="11" customFormat="1" x14ac:dyDescent="0.25">
      <c r="A8570" s="3"/>
      <c r="F8570" s="19"/>
      <c r="G8570" s="19"/>
      <c r="N8570" s="19"/>
      <c r="P8570" s="19"/>
      <c r="AL8570" s="19"/>
    </row>
    <row r="8571" spans="1:38" s="11" customFormat="1" x14ac:dyDescent="0.25">
      <c r="A8571" s="3"/>
      <c r="F8571" s="19"/>
      <c r="G8571" s="19"/>
      <c r="N8571" s="19"/>
      <c r="P8571" s="19"/>
      <c r="AL8571" s="19"/>
    </row>
    <row r="8572" spans="1:38" s="11" customFormat="1" x14ac:dyDescent="0.25">
      <c r="A8572" s="3"/>
      <c r="F8572" s="19"/>
      <c r="G8572" s="19"/>
      <c r="N8572" s="19"/>
      <c r="P8572" s="19"/>
      <c r="AL8572" s="19"/>
    </row>
    <row r="8573" spans="1:38" s="11" customFormat="1" x14ac:dyDescent="0.25">
      <c r="A8573" s="3"/>
      <c r="F8573" s="19"/>
      <c r="G8573" s="19"/>
      <c r="N8573" s="19"/>
      <c r="P8573" s="19"/>
      <c r="AL8573" s="19"/>
    </row>
    <row r="8574" spans="1:38" s="11" customFormat="1" x14ac:dyDescent="0.25">
      <c r="A8574" s="3"/>
      <c r="F8574" s="19"/>
      <c r="G8574" s="19"/>
      <c r="N8574" s="19"/>
      <c r="P8574" s="19"/>
      <c r="AL8574" s="19"/>
    </row>
    <row r="8575" spans="1:38" s="11" customFormat="1" x14ac:dyDescent="0.25">
      <c r="A8575" s="3"/>
      <c r="F8575" s="19"/>
      <c r="G8575" s="19"/>
      <c r="N8575" s="19"/>
      <c r="P8575" s="19"/>
      <c r="AL8575" s="19"/>
    </row>
    <row r="8576" spans="1:38" s="11" customFormat="1" x14ac:dyDescent="0.25">
      <c r="A8576" s="3"/>
      <c r="F8576" s="19"/>
      <c r="G8576" s="19"/>
      <c r="N8576" s="19"/>
      <c r="P8576" s="19"/>
      <c r="AL8576" s="19"/>
    </row>
    <row r="8577" spans="1:38" s="11" customFormat="1" x14ac:dyDescent="0.25">
      <c r="A8577" s="3"/>
      <c r="F8577" s="19"/>
      <c r="G8577" s="19"/>
      <c r="N8577" s="19"/>
      <c r="P8577" s="19"/>
      <c r="AL8577" s="19"/>
    </row>
    <row r="8578" spans="1:38" s="11" customFormat="1" x14ac:dyDescent="0.25">
      <c r="A8578" s="3"/>
      <c r="F8578" s="19"/>
      <c r="G8578" s="19"/>
      <c r="N8578" s="19"/>
      <c r="P8578" s="19"/>
      <c r="AL8578" s="19"/>
    </row>
    <row r="8579" spans="1:38" s="11" customFormat="1" x14ac:dyDescent="0.25">
      <c r="A8579" s="3"/>
      <c r="F8579" s="19"/>
      <c r="G8579" s="19"/>
      <c r="N8579" s="19"/>
      <c r="P8579" s="19"/>
      <c r="AL8579" s="19"/>
    </row>
    <row r="8580" spans="1:38" s="11" customFormat="1" x14ac:dyDescent="0.25">
      <c r="A8580" s="3"/>
      <c r="F8580" s="19"/>
      <c r="G8580" s="19"/>
      <c r="N8580" s="19"/>
      <c r="P8580" s="19"/>
      <c r="AL8580" s="19"/>
    </row>
    <row r="8581" spans="1:38" s="11" customFormat="1" x14ac:dyDescent="0.25">
      <c r="A8581" s="3"/>
      <c r="F8581" s="19"/>
      <c r="G8581" s="19"/>
      <c r="N8581" s="19"/>
      <c r="P8581" s="19"/>
      <c r="AL8581" s="19"/>
    </row>
    <row r="8582" spans="1:38" s="11" customFormat="1" x14ac:dyDescent="0.25">
      <c r="A8582" s="3"/>
      <c r="F8582" s="19"/>
      <c r="G8582" s="19"/>
      <c r="N8582" s="19"/>
      <c r="P8582" s="19"/>
      <c r="AL8582" s="19"/>
    </row>
    <row r="8583" spans="1:38" s="11" customFormat="1" x14ac:dyDescent="0.25">
      <c r="A8583" s="3"/>
      <c r="F8583" s="19"/>
      <c r="G8583" s="19"/>
      <c r="N8583" s="19"/>
      <c r="P8583" s="19"/>
      <c r="AL8583" s="19"/>
    </row>
    <row r="8584" spans="1:38" s="11" customFormat="1" x14ac:dyDescent="0.25">
      <c r="A8584" s="3"/>
      <c r="F8584" s="19"/>
      <c r="G8584" s="19"/>
      <c r="N8584" s="19"/>
      <c r="P8584" s="19"/>
      <c r="AL8584" s="19"/>
    </row>
    <row r="8585" spans="1:38" s="11" customFormat="1" x14ac:dyDescent="0.25">
      <c r="A8585" s="3"/>
      <c r="F8585" s="19"/>
      <c r="G8585" s="19"/>
      <c r="N8585" s="19"/>
      <c r="P8585" s="19"/>
      <c r="AL8585" s="19"/>
    </row>
    <row r="8586" spans="1:38" s="11" customFormat="1" x14ac:dyDescent="0.25">
      <c r="A8586" s="3"/>
      <c r="F8586" s="19"/>
      <c r="G8586" s="19"/>
      <c r="N8586" s="19"/>
      <c r="P8586" s="19"/>
      <c r="AL8586" s="19"/>
    </row>
    <row r="8587" spans="1:38" s="11" customFormat="1" x14ac:dyDescent="0.25">
      <c r="A8587" s="3"/>
      <c r="F8587" s="19"/>
      <c r="G8587" s="19"/>
      <c r="N8587" s="19"/>
      <c r="P8587" s="19"/>
      <c r="AL8587" s="19"/>
    </row>
    <row r="8588" spans="1:38" s="11" customFormat="1" x14ac:dyDescent="0.25">
      <c r="A8588" s="3"/>
      <c r="F8588" s="19"/>
      <c r="G8588" s="19"/>
      <c r="N8588" s="19"/>
      <c r="P8588" s="19"/>
      <c r="AL8588" s="19"/>
    </row>
    <row r="8589" spans="1:38" s="11" customFormat="1" x14ac:dyDescent="0.25">
      <c r="A8589" s="3"/>
      <c r="F8589" s="19"/>
      <c r="G8589" s="19"/>
      <c r="N8589" s="19"/>
      <c r="P8589" s="19"/>
      <c r="AL8589" s="19"/>
    </row>
    <row r="8590" spans="1:38" s="11" customFormat="1" x14ac:dyDescent="0.25">
      <c r="A8590" s="3"/>
      <c r="F8590" s="19"/>
      <c r="G8590" s="19"/>
      <c r="N8590" s="19"/>
      <c r="P8590" s="19"/>
      <c r="AL8590" s="19"/>
    </row>
    <row r="8591" spans="1:38" s="11" customFormat="1" x14ac:dyDescent="0.25">
      <c r="A8591" s="3"/>
      <c r="F8591" s="19"/>
      <c r="G8591" s="19"/>
      <c r="N8591" s="19"/>
      <c r="P8591" s="19"/>
      <c r="AL8591" s="19"/>
    </row>
    <row r="8592" spans="1:38" s="11" customFormat="1" x14ac:dyDescent="0.25">
      <c r="A8592" s="3"/>
      <c r="F8592" s="19"/>
      <c r="G8592" s="19"/>
      <c r="N8592" s="19"/>
      <c r="P8592" s="19"/>
      <c r="AL8592" s="19"/>
    </row>
    <row r="8593" spans="1:38" s="11" customFormat="1" x14ac:dyDescent="0.25">
      <c r="A8593" s="3"/>
      <c r="F8593" s="19"/>
      <c r="G8593" s="19"/>
      <c r="N8593" s="19"/>
      <c r="P8593" s="19"/>
      <c r="AL8593" s="19"/>
    </row>
    <row r="8594" spans="1:38" s="11" customFormat="1" x14ac:dyDescent="0.25">
      <c r="A8594" s="3"/>
      <c r="F8594" s="19"/>
      <c r="G8594" s="19"/>
      <c r="N8594" s="19"/>
      <c r="P8594" s="19"/>
      <c r="AL8594" s="19"/>
    </row>
    <row r="8595" spans="1:38" s="11" customFormat="1" x14ac:dyDescent="0.25">
      <c r="A8595" s="3"/>
      <c r="F8595" s="19"/>
      <c r="G8595" s="19"/>
      <c r="N8595" s="19"/>
      <c r="P8595" s="19"/>
      <c r="AL8595" s="19"/>
    </row>
    <row r="8596" spans="1:38" s="11" customFormat="1" x14ac:dyDescent="0.25">
      <c r="A8596" s="3"/>
      <c r="F8596" s="19"/>
      <c r="G8596" s="19"/>
      <c r="N8596" s="19"/>
      <c r="P8596" s="19"/>
      <c r="AL8596" s="19"/>
    </row>
    <row r="8597" spans="1:38" s="11" customFormat="1" x14ac:dyDescent="0.25">
      <c r="A8597" s="3"/>
      <c r="F8597" s="19"/>
      <c r="G8597" s="19"/>
      <c r="N8597" s="19"/>
      <c r="P8597" s="19"/>
      <c r="AL8597" s="19"/>
    </row>
    <row r="8598" spans="1:38" s="11" customFormat="1" x14ac:dyDescent="0.25">
      <c r="A8598" s="3"/>
      <c r="F8598" s="19"/>
      <c r="G8598" s="19"/>
      <c r="N8598" s="19"/>
      <c r="P8598" s="19"/>
      <c r="AL8598" s="19"/>
    </row>
    <row r="8599" spans="1:38" s="11" customFormat="1" x14ac:dyDescent="0.25">
      <c r="A8599" s="3"/>
      <c r="F8599" s="19"/>
      <c r="G8599" s="19"/>
      <c r="N8599" s="19"/>
      <c r="P8599" s="19"/>
      <c r="AL8599" s="19"/>
    </row>
    <row r="8600" spans="1:38" s="11" customFormat="1" x14ac:dyDescent="0.25">
      <c r="A8600" s="3"/>
      <c r="F8600" s="19"/>
      <c r="G8600" s="19"/>
      <c r="N8600" s="19"/>
      <c r="P8600" s="19"/>
      <c r="AL8600" s="19"/>
    </row>
    <row r="8601" spans="1:38" s="11" customFormat="1" x14ac:dyDescent="0.25">
      <c r="A8601" s="3"/>
      <c r="F8601" s="19"/>
      <c r="G8601" s="19"/>
      <c r="N8601" s="19"/>
      <c r="P8601" s="19"/>
      <c r="AL8601" s="19"/>
    </row>
    <row r="8602" spans="1:38" s="11" customFormat="1" x14ac:dyDescent="0.25">
      <c r="A8602" s="3"/>
      <c r="F8602" s="19"/>
      <c r="G8602" s="19"/>
      <c r="N8602" s="19"/>
      <c r="P8602" s="19"/>
      <c r="AL8602" s="19"/>
    </row>
    <row r="8603" spans="1:38" s="11" customFormat="1" x14ac:dyDescent="0.25">
      <c r="A8603" s="3"/>
      <c r="F8603" s="19"/>
      <c r="G8603" s="19"/>
      <c r="N8603" s="19"/>
      <c r="P8603" s="19"/>
      <c r="AL8603" s="19"/>
    </row>
    <row r="8604" spans="1:38" s="11" customFormat="1" x14ac:dyDescent="0.25">
      <c r="A8604" s="3"/>
      <c r="F8604" s="19"/>
      <c r="G8604" s="19"/>
      <c r="N8604" s="19"/>
      <c r="P8604" s="19"/>
      <c r="AL8604" s="19"/>
    </row>
    <row r="8605" spans="1:38" s="11" customFormat="1" x14ac:dyDescent="0.25">
      <c r="A8605" s="3"/>
      <c r="F8605" s="19"/>
      <c r="G8605" s="19"/>
      <c r="N8605" s="19"/>
      <c r="P8605" s="19"/>
      <c r="AL8605" s="19"/>
    </row>
    <row r="8606" spans="1:38" s="11" customFormat="1" x14ac:dyDescent="0.25">
      <c r="A8606" s="3"/>
      <c r="F8606" s="19"/>
      <c r="G8606" s="19"/>
      <c r="N8606" s="19"/>
      <c r="P8606" s="19"/>
      <c r="AL8606" s="19"/>
    </row>
    <row r="8607" spans="1:38" s="11" customFormat="1" x14ac:dyDescent="0.25">
      <c r="A8607" s="3"/>
      <c r="F8607" s="19"/>
      <c r="G8607" s="19"/>
      <c r="N8607" s="19"/>
      <c r="P8607" s="19"/>
      <c r="AL8607" s="19"/>
    </row>
    <row r="8608" spans="1:38" s="11" customFormat="1" x14ac:dyDescent="0.25">
      <c r="A8608" s="3"/>
      <c r="F8608" s="19"/>
      <c r="G8608" s="19"/>
      <c r="N8608" s="19"/>
      <c r="P8608" s="19"/>
      <c r="AL8608" s="19"/>
    </row>
    <row r="8609" spans="1:38" s="11" customFormat="1" x14ac:dyDescent="0.25">
      <c r="A8609" s="3"/>
      <c r="F8609" s="19"/>
      <c r="G8609" s="19"/>
      <c r="N8609" s="19"/>
      <c r="P8609" s="19"/>
      <c r="AL8609" s="19"/>
    </row>
    <row r="8610" spans="1:38" s="11" customFormat="1" x14ac:dyDescent="0.25">
      <c r="A8610" s="3"/>
      <c r="F8610" s="19"/>
      <c r="G8610" s="19"/>
      <c r="N8610" s="19"/>
      <c r="P8610" s="19"/>
      <c r="AL8610" s="19"/>
    </row>
    <row r="8611" spans="1:38" s="11" customFormat="1" x14ac:dyDescent="0.25">
      <c r="A8611" s="3"/>
      <c r="F8611" s="19"/>
      <c r="G8611" s="19"/>
      <c r="N8611" s="19"/>
      <c r="P8611" s="19"/>
      <c r="AL8611" s="19"/>
    </row>
    <row r="8612" spans="1:38" s="11" customFormat="1" x14ac:dyDescent="0.25">
      <c r="A8612" s="3"/>
      <c r="F8612" s="19"/>
      <c r="G8612" s="19"/>
      <c r="N8612" s="19"/>
      <c r="P8612" s="19"/>
      <c r="AL8612" s="19"/>
    </row>
    <row r="8613" spans="1:38" s="11" customFormat="1" x14ac:dyDescent="0.25">
      <c r="A8613" s="3"/>
      <c r="F8613" s="19"/>
      <c r="G8613" s="19"/>
      <c r="N8613" s="19"/>
      <c r="P8613" s="19"/>
      <c r="AL8613" s="19"/>
    </row>
    <row r="8614" spans="1:38" s="11" customFormat="1" x14ac:dyDescent="0.25">
      <c r="A8614" s="3"/>
      <c r="F8614" s="19"/>
      <c r="G8614" s="19"/>
      <c r="N8614" s="19"/>
      <c r="P8614" s="19"/>
      <c r="AL8614" s="19"/>
    </row>
    <row r="8615" spans="1:38" s="11" customFormat="1" x14ac:dyDescent="0.25">
      <c r="A8615" s="3"/>
      <c r="F8615" s="19"/>
      <c r="G8615" s="19"/>
      <c r="N8615" s="19"/>
      <c r="P8615" s="19"/>
      <c r="AL8615" s="19"/>
    </row>
    <row r="8616" spans="1:38" s="11" customFormat="1" x14ac:dyDescent="0.25">
      <c r="A8616" s="3"/>
      <c r="F8616" s="19"/>
      <c r="G8616" s="19"/>
      <c r="N8616" s="19"/>
      <c r="P8616" s="19"/>
      <c r="AL8616" s="19"/>
    </row>
    <row r="8617" spans="1:38" s="11" customFormat="1" x14ac:dyDescent="0.25">
      <c r="A8617" s="3"/>
      <c r="F8617" s="19"/>
      <c r="G8617" s="19"/>
      <c r="N8617" s="19"/>
      <c r="P8617" s="19"/>
      <c r="AL8617" s="19"/>
    </row>
    <row r="8618" spans="1:38" s="11" customFormat="1" x14ac:dyDescent="0.25">
      <c r="A8618" s="3"/>
      <c r="F8618" s="19"/>
      <c r="G8618" s="19"/>
      <c r="N8618" s="19"/>
      <c r="P8618" s="19"/>
      <c r="AL8618" s="19"/>
    </row>
    <row r="8619" spans="1:38" s="11" customFormat="1" x14ac:dyDescent="0.25">
      <c r="A8619" s="3"/>
      <c r="F8619" s="19"/>
      <c r="G8619" s="19"/>
      <c r="N8619" s="19"/>
      <c r="P8619" s="19"/>
      <c r="AL8619" s="19"/>
    </row>
    <row r="8620" spans="1:38" s="11" customFormat="1" x14ac:dyDescent="0.25">
      <c r="A8620" s="3"/>
      <c r="F8620" s="19"/>
      <c r="G8620" s="19"/>
      <c r="N8620" s="19"/>
      <c r="P8620" s="19"/>
      <c r="AL8620" s="19"/>
    </row>
    <row r="8621" spans="1:38" s="11" customFormat="1" x14ac:dyDescent="0.25">
      <c r="A8621" s="3"/>
      <c r="F8621" s="19"/>
      <c r="G8621" s="19"/>
      <c r="N8621" s="19"/>
      <c r="P8621" s="19"/>
      <c r="AL8621" s="19"/>
    </row>
    <row r="8622" spans="1:38" s="11" customFormat="1" x14ac:dyDescent="0.25">
      <c r="A8622" s="3"/>
      <c r="F8622" s="19"/>
      <c r="G8622" s="19"/>
      <c r="N8622" s="19"/>
      <c r="P8622" s="19"/>
      <c r="AL8622" s="19"/>
    </row>
    <row r="8623" spans="1:38" s="11" customFormat="1" x14ac:dyDescent="0.25">
      <c r="A8623" s="3"/>
      <c r="F8623" s="19"/>
      <c r="G8623" s="19"/>
      <c r="N8623" s="19"/>
      <c r="P8623" s="19"/>
      <c r="AL8623" s="19"/>
    </row>
    <row r="8624" spans="1:38" s="11" customFormat="1" x14ac:dyDescent="0.25">
      <c r="A8624" s="3"/>
      <c r="F8624" s="19"/>
      <c r="G8624" s="19"/>
      <c r="N8624" s="19"/>
      <c r="P8624" s="19"/>
      <c r="AL8624" s="19"/>
    </row>
    <row r="8625" spans="1:38" s="11" customFormat="1" x14ac:dyDescent="0.25">
      <c r="A8625" s="3"/>
      <c r="F8625" s="19"/>
      <c r="G8625" s="19"/>
      <c r="N8625" s="19"/>
      <c r="P8625" s="19"/>
      <c r="AL8625" s="19"/>
    </row>
    <row r="8626" spans="1:38" s="11" customFormat="1" x14ac:dyDescent="0.25">
      <c r="A8626" s="3"/>
      <c r="F8626" s="19"/>
      <c r="G8626" s="19"/>
      <c r="N8626" s="19"/>
      <c r="P8626" s="19"/>
      <c r="AL8626" s="19"/>
    </row>
    <row r="8627" spans="1:38" s="11" customFormat="1" x14ac:dyDescent="0.25">
      <c r="A8627" s="3"/>
      <c r="F8627" s="19"/>
      <c r="G8627" s="19"/>
      <c r="N8627" s="19"/>
      <c r="P8627" s="19"/>
      <c r="AL8627" s="19"/>
    </row>
    <row r="8628" spans="1:38" s="11" customFormat="1" x14ac:dyDescent="0.25">
      <c r="A8628" s="3"/>
      <c r="F8628" s="19"/>
      <c r="G8628" s="19"/>
      <c r="N8628" s="19"/>
      <c r="P8628" s="19"/>
      <c r="AL8628" s="19"/>
    </row>
    <row r="8629" spans="1:38" s="11" customFormat="1" x14ac:dyDescent="0.25">
      <c r="A8629" s="3"/>
      <c r="F8629" s="19"/>
      <c r="G8629" s="19"/>
      <c r="N8629" s="19"/>
      <c r="P8629" s="19"/>
      <c r="AL8629" s="19"/>
    </row>
    <row r="8630" spans="1:38" s="11" customFormat="1" x14ac:dyDescent="0.25">
      <c r="A8630" s="3"/>
      <c r="F8630" s="19"/>
      <c r="G8630" s="19"/>
      <c r="N8630" s="19"/>
      <c r="P8630" s="19"/>
      <c r="AL8630" s="19"/>
    </row>
    <row r="8631" spans="1:38" s="11" customFormat="1" x14ac:dyDescent="0.25">
      <c r="A8631" s="3"/>
      <c r="F8631" s="19"/>
      <c r="G8631" s="19"/>
      <c r="N8631" s="19"/>
      <c r="P8631" s="19"/>
      <c r="AL8631" s="19"/>
    </row>
    <row r="8632" spans="1:38" s="11" customFormat="1" x14ac:dyDescent="0.25">
      <c r="A8632" s="3"/>
      <c r="F8632" s="19"/>
      <c r="G8632" s="19"/>
      <c r="N8632" s="19"/>
      <c r="P8632" s="19"/>
      <c r="AL8632" s="19"/>
    </row>
    <row r="8633" spans="1:38" s="11" customFormat="1" x14ac:dyDescent="0.25">
      <c r="A8633" s="3"/>
      <c r="F8633" s="19"/>
      <c r="G8633" s="19"/>
      <c r="N8633" s="19"/>
      <c r="P8633" s="19"/>
      <c r="AL8633" s="19"/>
    </row>
    <row r="8634" spans="1:38" s="11" customFormat="1" x14ac:dyDescent="0.25">
      <c r="A8634" s="3"/>
      <c r="F8634" s="19"/>
      <c r="G8634" s="19"/>
      <c r="N8634" s="19"/>
      <c r="P8634" s="19"/>
      <c r="AL8634" s="19"/>
    </row>
    <row r="8635" spans="1:38" s="11" customFormat="1" x14ac:dyDescent="0.25">
      <c r="A8635" s="3"/>
      <c r="F8635" s="19"/>
      <c r="G8635" s="19"/>
      <c r="N8635" s="19"/>
      <c r="P8635" s="19"/>
      <c r="AL8635" s="19"/>
    </row>
    <row r="8636" spans="1:38" s="11" customFormat="1" x14ac:dyDescent="0.25">
      <c r="A8636" s="3"/>
      <c r="F8636" s="19"/>
      <c r="G8636" s="19"/>
      <c r="N8636" s="19"/>
      <c r="P8636" s="19"/>
      <c r="AL8636" s="19"/>
    </row>
    <row r="8637" spans="1:38" s="11" customFormat="1" x14ac:dyDescent="0.25">
      <c r="A8637" s="3"/>
      <c r="F8637" s="19"/>
      <c r="G8637" s="19"/>
      <c r="N8637" s="19"/>
      <c r="P8637" s="19"/>
      <c r="AL8637" s="19"/>
    </row>
    <row r="8638" spans="1:38" s="11" customFormat="1" x14ac:dyDescent="0.25">
      <c r="A8638" s="3"/>
      <c r="F8638" s="19"/>
      <c r="G8638" s="19"/>
      <c r="N8638" s="19"/>
      <c r="P8638" s="19"/>
      <c r="AL8638" s="19"/>
    </row>
    <row r="8639" spans="1:38" s="11" customFormat="1" x14ac:dyDescent="0.25">
      <c r="A8639" s="3"/>
      <c r="F8639" s="19"/>
      <c r="G8639" s="19"/>
      <c r="N8639" s="19"/>
      <c r="P8639" s="19"/>
      <c r="AL8639" s="19"/>
    </row>
    <row r="8640" spans="1:38" s="11" customFormat="1" x14ac:dyDescent="0.25">
      <c r="A8640" s="3"/>
      <c r="F8640" s="19"/>
      <c r="G8640" s="19"/>
      <c r="N8640" s="19"/>
      <c r="P8640" s="19"/>
      <c r="AL8640" s="19"/>
    </row>
    <row r="8641" spans="1:38" s="11" customFormat="1" x14ac:dyDescent="0.25">
      <c r="A8641" s="3"/>
      <c r="F8641" s="19"/>
      <c r="G8641" s="19"/>
      <c r="N8641" s="19"/>
      <c r="P8641" s="19"/>
      <c r="AL8641" s="19"/>
    </row>
    <row r="8642" spans="1:38" s="11" customFormat="1" x14ac:dyDescent="0.25">
      <c r="A8642" s="3"/>
      <c r="F8642" s="19"/>
      <c r="G8642" s="19"/>
      <c r="N8642" s="19"/>
      <c r="P8642" s="19"/>
      <c r="AL8642" s="19"/>
    </row>
    <row r="8643" spans="1:38" s="11" customFormat="1" x14ac:dyDescent="0.25">
      <c r="A8643" s="3"/>
      <c r="F8643" s="19"/>
      <c r="G8643" s="19"/>
      <c r="N8643" s="19"/>
      <c r="P8643" s="19"/>
      <c r="AL8643" s="19"/>
    </row>
    <row r="8644" spans="1:38" s="11" customFormat="1" x14ac:dyDescent="0.25">
      <c r="A8644" s="3"/>
      <c r="F8644" s="19"/>
      <c r="G8644" s="19"/>
      <c r="N8644" s="19"/>
      <c r="P8644" s="19"/>
      <c r="AL8644" s="19"/>
    </row>
    <row r="8645" spans="1:38" s="11" customFormat="1" x14ac:dyDescent="0.25">
      <c r="A8645" s="3"/>
      <c r="F8645" s="19"/>
      <c r="G8645" s="19"/>
      <c r="N8645" s="19"/>
      <c r="P8645" s="19"/>
      <c r="AL8645" s="19"/>
    </row>
    <row r="8646" spans="1:38" s="11" customFormat="1" x14ac:dyDescent="0.25">
      <c r="A8646" s="3"/>
      <c r="F8646" s="19"/>
      <c r="G8646" s="19"/>
      <c r="N8646" s="19"/>
      <c r="P8646" s="19"/>
      <c r="AL8646" s="19"/>
    </row>
    <row r="8647" spans="1:38" s="11" customFormat="1" x14ac:dyDescent="0.25">
      <c r="A8647" s="3"/>
      <c r="F8647" s="19"/>
      <c r="G8647" s="19"/>
      <c r="N8647" s="19"/>
      <c r="P8647" s="19"/>
      <c r="AL8647" s="19"/>
    </row>
    <row r="8648" spans="1:38" s="11" customFormat="1" x14ac:dyDescent="0.25">
      <c r="A8648" s="3"/>
      <c r="F8648" s="19"/>
      <c r="G8648" s="19"/>
      <c r="N8648" s="19"/>
      <c r="P8648" s="19"/>
      <c r="AL8648" s="19"/>
    </row>
    <row r="8649" spans="1:38" s="11" customFormat="1" x14ac:dyDescent="0.25">
      <c r="A8649" s="3"/>
      <c r="F8649" s="19"/>
      <c r="G8649" s="19"/>
      <c r="N8649" s="19"/>
      <c r="P8649" s="19"/>
      <c r="AL8649" s="19"/>
    </row>
    <row r="8650" spans="1:38" s="11" customFormat="1" x14ac:dyDescent="0.25">
      <c r="A8650" s="3"/>
      <c r="F8650" s="19"/>
      <c r="G8650" s="19"/>
      <c r="N8650" s="19"/>
      <c r="P8650" s="19"/>
      <c r="AL8650" s="19"/>
    </row>
    <row r="8651" spans="1:38" s="11" customFormat="1" x14ac:dyDescent="0.25">
      <c r="A8651" s="3"/>
      <c r="F8651" s="19"/>
      <c r="G8651" s="19"/>
      <c r="N8651" s="19"/>
      <c r="P8651" s="19"/>
      <c r="AL8651" s="19"/>
    </row>
    <row r="8652" spans="1:38" s="11" customFormat="1" x14ac:dyDescent="0.25">
      <c r="A8652" s="3"/>
      <c r="F8652" s="19"/>
      <c r="G8652" s="19"/>
      <c r="N8652" s="19"/>
      <c r="P8652" s="19"/>
      <c r="AL8652" s="19"/>
    </row>
    <row r="8653" spans="1:38" s="11" customFormat="1" x14ac:dyDescent="0.25">
      <c r="A8653" s="3"/>
      <c r="F8653" s="19"/>
      <c r="G8653" s="19"/>
      <c r="N8653" s="19"/>
      <c r="P8653" s="19"/>
      <c r="AL8653" s="19"/>
    </row>
    <row r="8654" spans="1:38" s="11" customFormat="1" x14ac:dyDescent="0.25">
      <c r="A8654" s="3"/>
      <c r="F8654" s="19"/>
      <c r="G8654" s="19"/>
      <c r="N8654" s="19"/>
      <c r="P8654" s="19"/>
      <c r="AL8654" s="19"/>
    </row>
    <row r="8655" spans="1:38" s="11" customFormat="1" x14ac:dyDescent="0.25">
      <c r="A8655" s="3"/>
      <c r="F8655" s="19"/>
      <c r="G8655" s="19"/>
      <c r="N8655" s="19"/>
      <c r="P8655" s="19"/>
      <c r="AL8655" s="19"/>
    </row>
    <row r="8656" spans="1:38" s="11" customFormat="1" x14ac:dyDescent="0.25">
      <c r="A8656" s="3"/>
      <c r="F8656" s="19"/>
      <c r="G8656" s="19"/>
      <c r="N8656" s="19"/>
      <c r="P8656" s="19"/>
      <c r="AL8656" s="19"/>
    </row>
    <row r="8657" spans="1:38" s="11" customFormat="1" x14ac:dyDescent="0.25">
      <c r="A8657" s="3"/>
      <c r="F8657" s="19"/>
      <c r="G8657" s="19"/>
      <c r="N8657" s="19"/>
      <c r="P8657" s="19"/>
      <c r="AL8657" s="19"/>
    </row>
    <row r="8658" spans="1:38" s="11" customFormat="1" x14ac:dyDescent="0.25">
      <c r="A8658" s="3"/>
      <c r="F8658" s="19"/>
      <c r="G8658" s="19"/>
      <c r="N8658" s="19"/>
      <c r="P8658" s="19"/>
      <c r="AL8658" s="19"/>
    </row>
    <row r="8659" spans="1:38" s="11" customFormat="1" x14ac:dyDescent="0.25">
      <c r="A8659" s="3"/>
      <c r="F8659" s="19"/>
      <c r="G8659" s="19"/>
      <c r="N8659" s="19"/>
      <c r="P8659" s="19"/>
      <c r="AL8659" s="19"/>
    </row>
    <row r="8660" spans="1:38" s="11" customFormat="1" x14ac:dyDescent="0.25">
      <c r="A8660" s="3"/>
      <c r="F8660" s="19"/>
      <c r="G8660" s="19"/>
      <c r="N8660" s="19"/>
      <c r="P8660" s="19"/>
      <c r="AL8660" s="19"/>
    </row>
    <row r="8661" spans="1:38" s="11" customFormat="1" x14ac:dyDescent="0.25">
      <c r="A8661" s="3"/>
      <c r="F8661" s="19"/>
      <c r="G8661" s="19"/>
      <c r="N8661" s="19"/>
      <c r="P8661" s="19"/>
      <c r="AL8661" s="19"/>
    </row>
    <row r="8662" spans="1:38" s="11" customFormat="1" x14ac:dyDescent="0.25">
      <c r="A8662" s="3"/>
      <c r="F8662" s="19"/>
      <c r="G8662" s="19"/>
      <c r="N8662" s="19"/>
      <c r="P8662" s="19"/>
      <c r="AL8662" s="19"/>
    </row>
    <row r="8663" spans="1:38" s="11" customFormat="1" x14ac:dyDescent="0.25">
      <c r="A8663" s="3"/>
      <c r="F8663" s="19"/>
      <c r="G8663" s="19"/>
      <c r="N8663" s="19"/>
      <c r="P8663" s="19"/>
      <c r="AL8663" s="19"/>
    </row>
    <row r="8664" spans="1:38" s="11" customFormat="1" x14ac:dyDescent="0.25">
      <c r="A8664" s="3"/>
      <c r="F8664" s="19"/>
      <c r="G8664" s="19"/>
      <c r="N8664" s="19"/>
      <c r="P8664" s="19"/>
      <c r="AL8664" s="19"/>
    </row>
    <row r="8665" spans="1:38" s="11" customFormat="1" x14ac:dyDescent="0.25">
      <c r="A8665" s="3"/>
      <c r="F8665" s="19"/>
      <c r="G8665" s="19"/>
      <c r="N8665" s="19"/>
      <c r="P8665" s="19"/>
      <c r="AL8665" s="19"/>
    </row>
    <row r="8666" spans="1:38" s="11" customFormat="1" x14ac:dyDescent="0.25">
      <c r="A8666" s="3"/>
      <c r="F8666" s="19"/>
      <c r="G8666" s="19"/>
      <c r="N8666" s="19"/>
      <c r="P8666" s="19"/>
      <c r="AL8666" s="19"/>
    </row>
    <row r="8667" spans="1:38" s="11" customFormat="1" x14ac:dyDescent="0.25">
      <c r="A8667" s="3"/>
      <c r="F8667" s="19"/>
      <c r="G8667" s="19"/>
      <c r="N8667" s="19"/>
      <c r="P8667" s="19"/>
      <c r="AL8667" s="19"/>
    </row>
    <row r="8668" spans="1:38" s="11" customFormat="1" x14ac:dyDescent="0.25">
      <c r="A8668" s="3"/>
      <c r="F8668" s="19"/>
      <c r="G8668" s="19"/>
      <c r="N8668" s="19"/>
      <c r="P8668" s="19"/>
      <c r="AL8668" s="19"/>
    </row>
    <row r="8669" spans="1:38" s="11" customFormat="1" x14ac:dyDescent="0.25">
      <c r="A8669" s="3"/>
      <c r="F8669" s="19"/>
      <c r="G8669" s="19"/>
      <c r="N8669" s="19"/>
      <c r="P8669" s="19"/>
      <c r="AL8669" s="19"/>
    </row>
    <row r="8670" spans="1:38" s="11" customFormat="1" x14ac:dyDescent="0.25">
      <c r="A8670" s="3"/>
      <c r="F8670" s="19"/>
      <c r="G8670" s="19"/>
      <c r="N8670" s="19"/>
      <c r="P8670" s="19"/>
      <c r="AL8670" s="19"/>
    </row>
    <row r="8671" spans="1:38" s="11" customFormat="1" x14ac:dyDescent="0.25">
      <c r="A8671" s="3"/>
      <c r="F8671" s="19"/>
      <c r="G8671" s="19"/>
      <c r="N8671" s="19"/>
      <c r="P8671" s="19"/>
      <c r="AL8671" s="19"/>
    </row>
    <row r="8672" spans="1:38" s="11" customFormat="1" x14ac:dyDescent="0.25">
      <c r="A8672" s="3"/>
      <c r="F8672" s="19"/>
      <c r="G8672" s="19"/>
      <c r="N8672" s="19"/>
      <c r="P8672" s="19"/>
      <c r="AL8672" s="19"/>
    </row>
    <row r="8673" spans="1:38" s="11" customFormat="1" x14ac:dyDescent="0.25">
      <c r="A8673" s="3"/>
      <c r="F8673" s="19"/>
      <c r="G8673" s="19"/>
      <c r="N8673" s="19"/>
      <c r="P8673" s="19"/>
      <c r="AL8673" s="19"/>
    </row>
    <row r="8674" spans="1:38" s="11" customFormat="1" x14ac:dyDescent="0.25">
      <c r="A8674" s="3"/>
      <c r="F8674" s="19"/>
      <c r="G8674" s="19"/>
      <c r="N8674" s="19"/>
      <c r="P8674" s="19"/>
      <c r="AL8674" s="19"/>
    </row>
    <row r="8675" spans="1:38" s="11" customFormat="1" x14ac:dyDescent="0.25">
      <c r="A8675" s="3"/>
      <c r="F8675" s="19"/>
      <c r="G8675" s="19"/>
      <c r="N8675" s="19"/>
      <c r="P8675" s="19"/>
      <c r="AL8675" s="19"/>
    </row>
    <row r="8676" spans="1:38" s="11" customFormat="1" x14ac:dyDescent="0.25">
      <c r="A8676" s="3"/>
      <c r="F8676" s="19"/>
      <c r="G8676" s="19"/>
      <c r="N8676" s="19"/>
      <c r="P8676" s="19"/>
      <c r="AL8676" s="19"/>
    </row>
    <row r="8677" spans="1:38" s="11" customFormat="1" x14ac:dyDescent="0.25">
      <c r="A8677" s="3"/>
      <c r="F8677" s="19"/>
      <c r="G8677" s="19"/>
      <c r="N8677" s="19"/>
      <c r="P8677" s="19"/>
      <c r="AL8677" s="19"/>
    </row>
    <row r="8678" spans="1:38" s="11" customFormat="1" x14ac:dyDescent="0.25">
      <c r="A8678" s="3"/>
      <c r="F8678" s="19"/>
      <c r="G8678" s="19"/>
      <c r="N8678" s="19"/>
      <c r="P8678" s="19"/>
      <c r="AL8678" s="19"/>
    </row>
    <row r="8679" spans="1:38" s="11" customFormat="1" x14ac:dyDescent="0.25">
      <c r="A8679" s="3"/>
      <c r="F8679" s="19"/>
      <c r="G8679" s="19"/>
      <c r="N8679" s="19"/>
      <c r="P8679" s="19"/>
      <c r="AL8679" s="19"/>
    </row>
    <row r="8680" spans="1:38" s="11" customFormat="1" x14ac:dyDescent="0.25">
      <c r="A8680" s="3"/>
      <c r="F8680" s="19"/>
      <c r="G8680" s="19"/>
      <c r="N8680" s="19"/>
      <c r="P8680" s="19"/>
      <c r="AL8680" s="19"/>
    </row>
    <row r="8681" spans="1:38" s="11" customFormat="1" x14ac:dyDescent="0.25">
      <c r="A8681" s="3"/>
      <c r="F8681" s="19"/>
      <c r="G8681" s="19"/>
      <c r="N8681" s="19"/>
      <c r="P8681" s="19"/>
      <c r="AL8681" s="19"/>
    </row>
    <row r="8682" spans="1:38" s="11" customFormat="1" x14ac:dyDescent="0.25">
      <c r="A8682" s="3"/>
      <c r="F8682" s="19"/>
      <c r="G8682" s="19"/>
      <c r="N8682" s="19"/>
      <c r="P8682" s="19"/>
      <c r="AL8682" s="19"/>
    </row>
    <row r="8683" spans="1:38" s="11" customFormat="1" x14ac:dyDescent="0.25">
      <c r="A8683" s="3"/>
      <c r="F8683" s="19"/>
      <c r="G8683" s="19"/>
      <c r="N8683" s="19"/>
      <c r="P8683" s="19"/>
      <c r="AL8683" s="19"/>
    </row>
    <row r="8684" spans="1:38" s="11" customFormat="1" x14ac:dyDescent="0.25">
      <c r="A8684" s="3"/>
      <c r="F8684" s="19"/>
      <c r="G8684" s="19"/>
      <c r="N8684" s="19"/>
      <c r="P8684" s="19"/>
      <c r="AL8684" s="19"/>
    </row>
    <row r="8685" spans="1:38" s="11" customFormat="1" x14ac:dyDescent="0.25">
      <c r="A8685" s="3"/>
      <c r="F8685" s="19"/>
      <c r="G8685" s="19"/>
      <c r="N8685" s="19"/>
      <c r="P8685" s="19"/>
      <c r="AL8685" s="19"/>
    </row>
    <row r="8686" spans="1:38" s="11" customFormat="1" x14ac:dyDescent="0.25">
      <c r="A8686" s="3"/>
      <c r="F8686" s="19"/>
      <c r="G8686" s="19"/>
      <c r="N8686" s="19"/>
      <c r="P8686" s="19"/>
      <c r="AL8686" s="19"/>
    </row>
    <row r="8687" spans="1:38" s="11" customFormat="1" x14ac:dyDescent="0.25">
      <c r="A8687" s="3"/>
      <c r="F8687" s="19"/>
      <c r="G8687" s="19"/>
      <c r="N8687" s="19"/>
      <c r="P8687" s="19"/>
      <c r="AL8687" s="19"/>
    </row>
    <row r="8688" spans="1:38" s="11" customFormat="1" x14ac:dyDescent="0.25">
      <c r="A8688" s="3"/>
      <c r="F8688" s="19"/>
      <c r="G8688" s="19"/>
      <c r="N8688" s="19"/>
      <c r="P8688" s="19"/>
      <c r="AL8688" s="19"/>
    </row>
    <row r="8689" spans="1:38" s="11" customFormat="1" x14ac:dyDescent="0.25">
      <c r="A8689" s="3"/>
      <c r="F8689" s="19"/>
      <c r="G8689" s="19"/>
      <c r="N8689" s="19"/>
      <c r="P8689" s="19"/>
      <c r="AL8689" s="19"/>
    </row>
    <row r="8690" spans="1:38" s="11" customFormat="1" x14ac:dyDescent="0.25">
      <c r="A8690" s="3"/>
      <c r="F8690" s="19"/>
      <c r="G8690" s="19"/>
      <c r="N8690" s="19"/>
      <c r="P8690" s="19"/>
      <c r="AL8690" s="19"/>
    </row>
    <row r="8691" spans="1:38" s="11" customFormat="1" x14ac:dyDescent="0.25">
      <c r="A8691" s="3"/>
      <c r="F8691" s="19"/>
      <c r="G8691" s="19"/>
      <c r="N8691" s="19"/>
      <c r="P8691" s="19"/>
      <c r="AL8691" s="19"/>
    </row>
    <row r="8692" spans="1:38" s="11" customFormat="1" x14ac:dyDescent="0.25">
      <c r="A8692" s="3"/>
      <c r="F8692" s="19"/>
      <c r="G8692" s="19"/>
      <c r="N8692" s="19"/>
      <c r="P8692" s="19"/>
      <c r="AL8692" s="19"/>
    </row>
    <row r="8693" spans="1:38" s="11" customFormat="1" x14ac:dyDescent="0.25">
      <c r="A8693" s="3"/>
      <c r="F8693" s="19"/>
      <c r="G8693" s="19"/>
      <c r="N8693" s="19"/>
      <c r="P8693" s="19"/>
      <c r="AL8693" s="19"/>
    </row>
    <row r="8694" spans="1:38" s="11" customFormat="1" x14ac:dyDescent="0.25">
      <c r="A8694" s="3"/>
      <c r="F8694" s="19"/>
      <c r="G8694" s="19"/>
      <c r="N8694" s="19"/>
      <c r="P8694" s="19"/>
      <c r="AL8694" s="19"/>
    </row>
    <row r="8695" spans="1:38" s="11" customFormat="1" x14ac:dyDescent="0.25">
      <c r="A8695" s="3"/>
      <c r="F8695" s="19"/>
      <c r="G8695" s="19"/>
      <c r="N8695" s="19"/>
      <c r="P8695" s="19"/>
      <c r="AL8695" s="19"/>
    </row>
    <row r="8696" spans="1:38" s="11" customFormat="1" x14ac:dyDescent="0.25">
      <c r="A8696" s="3"/>
      <c r="F8696" s="19"/>
      <c r="G8696" s="19"/>
      <c r="N8696" s="19"/>
      <c r="P8696" s="19"/>
      <c r="AL8696" s="19"/>
    </row>
    <row r="8697" spans="1:38" s="11" customFormat="1" x14ac:dyDescent="0.25">
      <c r="A8697" s="3"/>
      <c r="F8697" s="19"/>
      <c r="G8697" s="19"/>
      <c r="N8697" s="19"/>
      <c r="P8697" s="19"/>
      <c r="AL8697" s="19"/>
    </row>
    <row r="8698" spans="1:38" s="11" customFormat="1" x14ac:dyDescent="0.25">
      <c r="A8698" s="3"/>
      <c r="F8698" s="19"/>
      <c r="G8698" s="19"/>
      <c r="N8698" s="19"/>
      <c r="P8698" s="19"/>
      <c r="AL8698" s="19"/>
    </row>
    <row r="8699" spans="1:38" s="11" customFormat="1" x14ac:dyDescent="0.25">
      <c r="A8699" s="3"/>
      <c r="F8699" s="19"/>
      <c r="G8699" s="19"/>
      <c r="N8699" s="19"/>
      <c r="P8699" s="19"/>
      <c r="AL8699" s="19"/>
    </row>
    <row r="8700" spans="1:38" s="11" customFormat="1" x14ac:dyDescent="0.25">
      <c r="A8700" s="3"/>
      <c r="F8700" s="19"/>
      <c r="G8700" s="19"/>
      <c r="N8700" s="19"/>
      <c r="P8700" s="19"/>
      <c r="AL8700" s="19"/>
    </row>
    <row r="8701" spans="1:38" s="11" customFormat="1" x14ac:dyDescent="0.25">
      <c r="A8701" s="3"/>
      <c r="F8701" s="19"/>
      <c r="G8701" s="19"/>
      <c r="N8701" s="19"/>
      <c r="P8701" s="19"/>
      <c r="AL8701" s="19"/>
    </row>
    <row r="8702" spans="1:38" s="11" customFormat="1" x14ac:dyDescent="0.25">
      <c r="A8702" s="3"/>
      <c r="F8702" s="19"/>
      <c r="G8702" s="19"/>
      <c r="N8702" s="19"/>
      <c r="P8702" s="19"/>
      <c r="AL8702" s="19"/>
    </row>
    <row r="8703" spans="1:38" s="11" customFormat="1" x14ac:dyDescent="0.25">
      <c r="A8703" s="3"/>
      <c r="F8703" s="19"/>
      <c r="G8703" s="19"/>
      <c r="N8703" s="19"/>
      <c r="P8703" s="19"/>
      <c r="AL8703" s="19"/>
    </row>
    <row r="8704" spans="1:38" s="11" customFormat="1" x14ac:dyDescent="0.25">
      <c r="A8704" s="3"/>
      <c r="F8704" s="19"/>
      <c r="G8704" s="19"/>
      <c r="N8704" s="19"/>
      <c r="P8704" s="19"/>
      <c r="AL8704" s="19"/>
    </row>
    <row r="8705" spans="1:38" s="11" customFormat="1" x14ac:dyDescent="0.25">
      <c r="A8705" s="3"/>
      <c r="F8705" s="19"/>
      <c r="G8705" s="19"/>
      <c r="N8705" s="19"/>
      <c r="P8705" s="19"/>
      <c r="AL8705" s="19"/>
    </row>
    <row r="8706" spans="1:38" s="11" customFormat="1" x14ac:dyDescent="0.25">
      <c r="A8706" s="3"/>
      <c r="F8706" s="19"/>
      <c r="G8706" s="19"/>
      <c r="N8706" s="19"/>
      <c r="P8706" s="19"/>
      <c r="AL8706" s="19"/>
    </row>
    <row r="8707" spans="1:38" s="11" customFormat="1" x14ac:dyDescent="0.25">
      <c r="A8707" s="3"/>
      <c r="F8707" s="19"/>
      <c r="G8707" s="19"/>
      <c r="N8707" s="19"/>
      <c r="P8707" s="19"/>
      <c r="AL8707" s="19"/>
    </row>
    <row r="8708" spans="1:38" s="11" customFormat="1" x14ac:dyDescent="0.25">
      <c r="A8708" s="3"/>
      <c r="F8708" s="19"/>
      <c r="G8708" s="19"/>
      <c r="N8708" s="19"/>
      <c r="P8708" s="19"/>
      <c r="AL8708" s="19"/>
    </row>
    <row r="8709" spans="1:38" s="11" customFormat="1" x14ac:dyDescent="0.25">
      <c r="A8709" s="3"/>
      <c r="F8709" s="19"/>
      <c r="G8709" s="19"/>
      <c r="N8709" s="19"/>
      <c r="P8709" s="19"/>
      <c r="AL8709" s="19"/>
    </row>
    <row r="8710" spans="1:38" s="11" customFormat="1" x14ac:dyDescent="0.25">
      <c r="A8710" s="3"/>
      <c r="F8710" s="19"/>
      <c r="G8710" s="19"/>
      <c r="N8710" s="19"/>
      <c r="P8710" s="19"/>
      <c r="AL8710" s="19"/>
    </row>
    <row r="8711" spans="1:38" s="11" customFormat="1" x14ac:dyDescent="0.25">
      <c r="A8711" s="3"/>
      <c r="F8711" s="19"/>
      <c r="G8711" s="19"/>
      <c r="N8711" s="19"/>
      <c r="P8711" s="19"/>
      <c r="AL8711" s="19"/>
    </row>
    <row r="8712" spans="1:38" s="11" customFormat="1" x14ac:dyDescent="0.25">
      <c r="A8712" s="3"/>
      <c r="F8712" s="19"/>
      <c r="G8712" s="19"/>
      <c r="N8712" s="19"/>
      <c r="P8712" s="19"/>
      <c r="AL8712" s="19"/>
    </row>
    <row r="8713" spans="1:38" s="11" customFormat="1" x14ac:dyDescent="0.25">
      <c r="A8713" s="3"/>
      <c r="F8713" s="19"/>
      <c r="G8713" s="19"/>
      <c r="N8713" s="19"/>
      <c r="P8713" s="19"/>
      <c r="AL8713" s="19"/>
    </row>
    <row r="8714" spans="1:38" s="11" customFormat="1" x14ac:dyDescent="0.25">
      <c r="A8714" s="3"/>
      <c r="F8714" s="19"/>
      <c r="G8714" s="19"/>
      <c r="N8714" s="19"/>
      <c r="P8714" s="19"/>
      <c r="AL8714" s="19"/>
    </row>
    <row r="8715" spans="1:38" s="11" customFormat="1" x14ac:dyDescent="0.25">
      <c r="A8715" s="3"/>
      <c r="F8715" s="19"/>
      <c r="G8715" s="19"/>
      <c r="N8715" s="19"/>
      <c r="P8715" s="19"/>
      <c r="AL8715" s="19"/>
    </row>
    <row r="8716" spans="1:38" s="11" customFormat="1" x14ac:dyDescent="0.25">
      <c r="A8716" s="3"/>
      <c r="F8716" s="19"/>
      <c r="G8716" s="19"/>
      <c r="N8716" s="19"/>
      <c r="P8716" s="19"/>
      <c r="AL8716" s="19"/>
    </row>
    <row r="8717" spans="1:38" s="11" customFormat="1" x14ac:dyDescent="0.25">
      <c r="A8717" s="3"/>
      <c r="F8717" s="19"/>
      <c r="G8717" s="19"/>
      <c r="N8717" s="19"/>
      <c r="P8717" s="19"/>
      <c r="AL8717" s="19"/>
    </row>
    <row r="8718" spans="1:38" s="11" customFormat="1" x14ac:dyDescent="0.25">
      <c r="A8718" s="3"/>
      <c r="F8718" s="19"/>
      <c r="G8718" s="19"/>
      <c r="N8718" s="19"/>
      <c r="P8718" s="19"/>
      <c r="AL8718" s="19"/>
    </row>
    <row r="8719" spans="1:38" s="11" customFormat="1" x14ac:dyDescent="0.25">
      <c r="A8719" s="3"/>
      <c r="F8719" s="19"/>
      <c r="G8719" s="19"/>
      <c r="N8719" s="19"/>
      <c r="P8719" s="19"/>
      <c r="AL8719" s="19"/>
    </row>
    <row r="8720" spans="1:38" s="11" customFormat="1" x14ac:dyDescent="0.25">
      <c r="A8720" s="3"/>
      <c r="F8720" s="19"/>
      <c r="G8720" s="19"/>
      <c r="N8720" s="19"/>
      <c r="P8720" s="19"/>
      <c r="AL8720" s="19"/>
    </row>
    <row r="8721" spans="1:38" s="11" customFormat="1" x14ac:dyDescent="0.25">
      <c r="A8721" s="3"/>
      <c r="F8721" s="19"/>
      <c r="G8721" s="19"/>
      <c r="N8721" s="19"/>
      <c r="P8721" s="19"/>
      <c r="AL8721" s="19"/>
    </row>
    <row r="8722" spans="1:38" s="11" customFormat="1" x14ac:dyDescent="0.25">
      <c r="A8722" s="3"/>
      <c r="F8722" s="19"/>
      <c r="G8722" s="19"/>
      <c r="N8722" s="19"/>
      <c r="P8722" s="19"/>
      <c r="AL8722" s="19"/>
    </row>
    <row r="8723" spans="1:38" s="11" customFormat="1" x14ac:dyDescent="0.25">
      <c r="A8723" s="3"/>
      <c r="F8723" s="19"/>
      <c r="G8723" s="19"/>
      <c r="N8723" s="19"/>
      <c r="P8723" s="19"/>
      <c r="AL8723" s="19"/>
    </row>
    <row r="8724" spans="1:38" s="11" customFormat="1" x14ac:dyDescent="0.25">
      <c r="A8724" s="3"/>
      <c r="F8724" s="19"/>
      <c r="G8724" s="19"/>
      <c r="N8724" s="19"/>
      <c r="P8724" s="19"/>
      <c r="AL8724" s="19"/>
    </row>
    <row r="8725" spans="1:38" s="11" customFormat="1" x14ac:dyDescent="0.25">
      <c r="A8725" s="3"/>
      <c r="F8725" s="19"/>
      <c r="G8725" s="19"/>
      <c r="N8725" s="19"/>
      <c r="P8725" s="19"/>
      <c r="AL8725" s="19"/>
    </row>
    <row r="8726" spans="1:38" s="11" customFormat="1" x14ac:dyDescent="0.25">
      <c r="A8726" s="3"/>
      <c r="F8726" s="19"/>
      <c r="G8726" s="19"/>
      <c r="N8726" s="19"/>
      <c r="P8726" s="19"/>
      <c r="AL8726" s="19"/>
    </row>
    <row r="8727" spans="1:38" s="11" customFormat="1" x14ac:dyDescent="0.25">
      <c r="A8727" s="3"/>
      <c r="F8727" s="19"/>
      <c r="G8727" s="19"/>
      <c r="N8727" s="19"/>
      <c r="P8727" s="19"/>
      <c r="AL8727" s="19"/>
    </row>
    <row r="8728" spans="1:38" s="11" customFormat="1" x14ac:dyDescent="0.25">
      <c r="A8728" s="3"/>
      <c r="F8728" s="19"/>
      <c r="G8728" s="19"/>
      <c r="N8728" s="19"/>
      <c r="P8728" s="19"/>
      <c r="AL8728" s="19"/>
    </row>
    <row r="8729" spans="1:38" s="11" customFormat="1" x14ac:dyDescent="0.25">
      <c r="A8729" s="3"/>
      <c r="F8729" s="19"/>
      <c r="G8729" s="19"/>
      <c r="N8729" s="19"/>
      <c r="P8729" s="19"/>
      <c r="AL8729" s="19"/>
    </row>
    <row r="8730" spans="1:38" s="11" customFormat="1" x14ac:dyDescent="0.25">
      <c r="A8730" s="3"/>
      <c r="F8730" s="19"/>
      <c r="G8730" s="19"/>
      <c r="N8730" s="19"/>
      <c r="P8730" s="19"/>
      <c r="AL8730" s="19"/>
    </row>
    <row r="8731" spans="1:38" s="11" customFormat="1" x14ac:dyDescent="0.25">
      <c r="A8731" s="3"/>
      <c r="F8731" s="19"/>
      <c r="G8731" s="19"/>
      <c r="N8731" s="19"/>
      <c r="P8731" s="19"/>
      <c r="AL8731" s="19"/>
    </row>
    <row r="8732" spans="1:38" s="11" customFormat="1" x14ac:dyDescent="0.25">
      <c r="A8732" s="3"/>
      <c r="F8732" s="19"/>
      <c r="G8732" s="19"/>
      <c r="N8732" s="19"/>
      <c r="P8732" s="19"/>
      <c r="AL8732" s="19"/>
    </row>
    <row r="8733" spans="1:38" s="11" customFormat="1" x14ac:dyDescent="0.25">
      <c r="A8733" s="3"/>
      <c r="F8733" s="19"/>
      <c r="G8733" s="19"/>
      <c r="N8733" s="19"/>
      <c r="P8733" s="19"/>
      <c r="AL8733" s="19"/>
    </row>
    <row r="8734" spans="1:38" s="11" customFormat="1" x14ac:dyDescent="0.25">
      <c r="A8734" s="3"/>
      <c r="F8734" s="19"/>
      <c r="G8734" s="19"/>
      <c r="N8734" s="19"/>
      <c r="P8734" s="19"/>
      <c r="AL8734" s="19"/>
    </row>
    <row r="8735" spans="1:38" s="11" customFormat="1" x14ac:dyDescent="0.25">
      <c r="A8735" s="3"/>
      <c r="F8735" s="19"/>
      <c r="G8735" s="19"/>
      <c r="N8735" s="19"/>
      <c r="P8735" s="19"/>
      <c r="AL8735" s="19"/>
    </row>
    <row r="8736" spans="1:38" s="11" customFormat="1" x14ac:dyDescent="0.25">
      <c r="A8736" s="3"/>
      <c r="F8736" s="19"/>
      <c r="G8736" s="19"/>
      <c r="N8736" s="19"/>
      <c r="P8736" s="19"/>
      <c r="AL8736" s="19"/>
    </row>
    <row r="8737" spans="1:38" s="11" customFormat="1" x14ac:dyDescent="0.25">
      <c r="A8737" s="3"/>
      <c r="F8737" s="19"/>
      <c r="G8737" s="19"/>
      <c r="N8737" s="19"/>
      <c r="P8737" s="19"/>
      <c r="AL8737" s="19"/>
    </row>
    <row r="8738" spans="1:38" s="11" customFormat="1" x14ac:dyDescent="0.25">
      <c r="A8738" s="3"/>
      <c r="F8738" s="19"/>
      <c r="G8738" s="19"/>
      <c r="N8738" s="19"/>
      <c r="P8738" s="19"/>
      <c r="AL8738" s="19"/>
    </row>
    <row r="8739" spans="1:38" s="11" customFormat="1" x14ac:dyDescent="0.25">
      <c r="A8739" s="3"/>
      <c r="F8739" s="19"/>
      <c r="G8739" s="19"/>
      <c r="N8739" s="19"/>
      <c r="P8739" s="19"/>
      <c r="AL8739" s="19"/>
    </row>
    <row r="8740" spans="1:38" s="11" customFormat="1" x14ac:dyDescent="0.25">
      <c r="A8740" s="3"/>
      <c r="F8740" s="19"/>
      <c r="G8740" s="19"/>
      <c r="N8740" s="19"/>
      <c r="P8740" s="19"/>
      <c r="AL8740" s="19"/>
    </row>
    <row r="8741" spans="1:38" s="11" customFormat="1" x14ac:dyDescent="0.25">
      <c r="A8741" s="3"/>
      <c r="F8741" s="19"/>
      <c r="G8741" s="19"/>
      <c r="N8741" s="19"/>
      <c r="P8741" s="19"/>
      <c r="AL8741" s="19"/>
    </row>
    <row r="8742" spans="1:38" s="11" customFormat="1" x14ac:dyDescent="0.25">
      <c r="A8742" s="3"/>
      <c r="F8742" s="19"/>
      <c r="G8742" s="19"/>
      <c r="N8742" s="19"/>
      <c r="P8742" s="19"/>
      <c r="AL8742" s="19"/>
    </row>
    <row r="8743" spans="1:38" s="11" customFormat="1" x14ac:dyDescent="0.25">
      <c r="A8743" s="3"/>
      <c r="F8743" s="19"/>
      <c r="G8743" s="19"/>
      <c r="N8743" s="19"/>
      <c r="P8743" s="19"/>
      <c r="AL8743" s="19"/>
    </row>
    <row r="8744" spans="1:38" s="11" customFormat="1" x14ac:dyDescent="0.25">
      <c r="A8744" s="3"/>
      <c r="F8744" s="19"/>
      <c r="G8744" s="19"/>
      <c r="N8744" s="19"/>
      <c r="P8744" s="19"/>
      <c r="AL8744" s="19"/>
    </row>
    <row r="8745" spans="1:38" s="11" customFormat="1" x14ac:dyDescent="0.25">
      <c r="A8745" s="3"/>
      <c r="F8745" s="19"/>
      <c r="G8745" s="19"/>
      <c r="N8745" s="19"/>
      <c r="P8745" s="19"/>
      <c r="AL8745" s="19"/>
    </row>
    <row r="8746" spans="1:38" s="11" customFormat="1" x14ac:dyDescent="0.25">
      <c r="A8746" s="3"/>
      <c r="F8746" s="19"/>
      <c r="G8746" s="19"/>
      <c r="N8746" s="19"/>
      <c r="P8746" s="19"/>
      <c r="AL8746" s="19"/>
    </row>
    <row r="8747" spans="1:38" s="11" customFormat="1" x14ac:dyDescent="0.25">
      <c r="A8747" s="3"/>
      <c r="F8747" s="19"/>
      <c r="G8747" s="19"/>
      <c r="N8747" s="19"/>
      <c r="P8747" s="19"/>
      <c r="AL8747" s="19"/>
    </row>
    <row r="8748" spans="1:38" s="11" customFormat="1" x14ac:dyDescent="0.25">
      <c r="A8748" s="3"/>
      <c r="F8748" s="19"/>
      <c r="G8748" s="19"/>
      <c r="N8748" s="19"/>
      <c r="P8748" s="19"/>
      <c r="AL8748" s="19"/>
    </row>
    <row r="8749" spans="1:38" s="11" customFormat="1" x14ac:dyDescent="0.25">
      <c r="A8749" s="3"/>
      <c r="F8749" s="19"/>
      <c r="G8749" s="19"/>
      <c r="N8749" s="19"/>
      <c r="P8749" s="19"/>
      <c r="AL8749" s="19"/>
    </row>
    <row r="8750" spans="1:38" s="11" customFormat="1" x14ac:dyDescent="0.25">
      <c r="A8750" s="3"/>
      <c r="F8750" s="19"/>
      <c r="G8750" s="19"/>
      <c r="N8750" s="19"/>
      <c r="P8750" s="19"/>
      <c r="AL8750" s="19"/>
    </row>
    <row r="8751" spans="1:38" s="11" customFormat="1" x14ac:dyDescent="0.25">
      <c r="A8751" s="3"/>
      <c r="F8751" s="19"/>
      <c r="G8751" s="19"/>
      <c r="N8751" s="19"/>
      <c r="P8751" s="19"/>
      <c r="AL8751" s="19"/>
    </row>
    <row r="8752" spans="1:38" s="11" customFormat="1" x14ac:dyDescent="0.25">
      <c r="A8752" s="3"/>
      <c r="F8752" s="19"/>
      <c r="G8752" s="19"/>
      <c r="N8752" s="19"/>
      <c r="P8752" s="19"/>
      <c r="AL8752" s="19"/>
    </row>
    <row r="8753" spans="1:38" s="11" customFormat="1" x14ac:dyDescent="0.25">
      <c r="A8753" s="3"/>
      <c r="F8753" s="19"/>
      <c r="G8753" s="19"/>
      <c r="N8753" s="19"/>
      <c r="P8753" s="19"/>
      <c r="AL8753" s="19"/>
    </row>
    <row r="8754" spans="1:38" s="11" customFormat="1" x14ac:dyDescent="0.25">
      <c r="A8754" s="3"/>
      <c r="F8754" s="19"/>
      <c r="G8754" s="19"/>
      <c r="N8754" s="19"/>
      <c r="P8754" s="19"/>
      <c r="AL8754" s="19"/>
    </row>
    <row r="8755" spans="1:38" s="11" customFormat="1" x14ac:dyDescent="0.25">
      <c r="A8755" s="3"/>
      <c r="F8755" s="19"/>
      <c r="G8755" s="19"/>
      <c r="N8755" s="19"/>
      <c r="P8755" s="19"/>
      <c r="AL8755" s="19"/>
    </row>
    <row r="8756" spans="1:38" s="11" customFormat="1" x14ac:dyDescent="0.25">
      <c r="A8756" s="3"/>
      <c r="F8756" s="19"/>
      <c r="G8756" s="19"/>
      <c r="N8756" s="19"/>
      <c r="P8756" s="19"/>
      <c r="AL8756" s="19"/>
    </row>
    <row r="8757" spans="1:38" s="11" customFormat="1" x14ac:dyDescent="0.25">
      <c r="A8757" s="3"/>
      <c r="F8757" s="19"/>
      <c r="G8757" s="19"/>
      <c r="N8757" s="19"/>
      <c r="P8757" s="19"/>
      <c r="AL8757" s="19"/>
    </row>
    <row r="8758" spans="1:38" s="11" customFormat="1" x14ac:dyDescent="0.25">
      <c r="A8758" s="3"/>
      <c r="F8758" s="19"/>
      <c r="G8758" s="19"/>
      <c r="N8758" s="19"/>
      <c r="P8758" s="19"/>
      <c r="AL8758" s="19"/>
    </row>
    <row r="8759" spans="1:38" s="11" customFormat="1" x14ac:dyDescent="0.25">
      <c r="A8759" s="3"/>
      <c r="F8759" s="19"/>
      <c r="G8759" s="19"/>
      <c r="N8759" s="19"/>
      <c r="P8759" s="19"/>
      <c r="AL8759" s="19"/>
    </row>
    <row r="8760" spans="1:38" s="11" customFormat="1" x14ac:dyDescent="0.25">
      <c r="A8760" s="3"/>
      <c r="F8760" s="19"/>
      <c r="G8760" s="19"/>
      <c r="N8760" s="19"/>
      <c r="P8760" s="19"/>
      <c r="AL8760" s="19"/>
    </row>
    <row r="8761" spans="1:38" s="11" customFormat="1" x14ac:dyDescent="0.25">
      <c r="A8761" s="3"/>
      <c r="F8761" s="19"/>
      <c r="G8761" s="19"/>
      <c r="N8761" s="19"/>
      <c r="P8761" s="19"/>
      <c r="AL8761" s="19"/>
    </row>
    <row r="8762" spans="1:38" s="11" customFormat="1" x14ac:dyDescent="0.25">
      <c r="A8762" s="3"/>
      <c r="F8762" s="19"/>
      <c r="G8762" s="19"/>
      <c r="N8762" s="19"/>
      <c r="P8762" s="19"/>
      <c r="AL8762" s="19"/>
    </row>
    <row r="8763" spans="1:38" s="11" customFormat="1" x14ac:dyDescent="0.25">
      <c r="A8763" s="3"/>
      <c r="F8763" s="19"/>
      <c r="G8763" s="19"/>
      <c r="N8763" s="19"/>
      <c r="P8763" s="19"/>
      <c r="AL8763" s="19"/>
    </row>
    <row r="8764" spans="1:38" s="11" customFormat="1" x14ac:dyDescent="0.25">
      <c r="A8764" s="3"/>
      <c r="F8764" s="19"/>
      <c r="G8764" s="19"/>
      <c r="N8764" s="19"/>
      <c r="P8764" s="19"/>
      <c r="AL8764" s="19"/>
    </row>
    <row r="8765" spans="1:38" s="11" customFormat="1" x14ac:dyDescent="0.25">
      <c r="A8765" s="3"/>
      <c r="F8765" s="19"/>
      <c r="G8765" s="19"/>
      <c r="N8765" s="19"/>
      <c r="P8765" s="19"/>
      <c r="AL8765" s="19"/>
    </row>
    <row r="8766" spans="1:38" s="11" customFormat="1" x14ac:dyDescent="0.25">
      <c r="A8766" s="3"/>
      <c r="F8766" s="19"/>
      <c r="G8766" s="19"/>
      <c r="N8766" s="19"/>
      <c r="P8766" s="19"/>
      <c r="AL8766" s="19"/>
    </row>
    <row r="8767" spans="1:38" s="11" customFormat="1" x14ac:dyDescent="0.25">
      <c r="A8767" s="3"/>
      <c r="F8767" s="19"/>
      <c r="G8767" s="19"/>
      <c r="N8767" s="19"/>
      <c r="P8767" s="19"/>
      <c r="AL8767" s="19"/>
    </row>
    <row r="8768" spans="1:38" s="11" customFormat="1" x14ac:dyDescent="0.25">
      <c r="A8768" s="3"/>
      <c r="F8768" s="19"/>
      <c r="G8768" s="19"/>
      <c r="N8768" s="19"/>
      <c r="P8768" s="19"/>
      <c r="AL8768" s="19"/>
    </row>
    <row r="8769" spans="1:38" s="11" customFormat="1" x14ac:dyDescent="0.25">
      <c r="A8769" s="3"/>
      <c r="F8769" s="19"/>
      <c r="G8769" s="19"/>
      <c r="N8769" s="19"/>
      <c r="P8769" s="19"/>
      <c r="AL8769" s="19"/>
    </row>
    <row r="8770" spans="1:38" s="11" customFormat="1" x14ac:dyDescent="0.25">
      <c r="A8770" s="3"/>
      <c r="F8770" s="19"/>
      <c r="G8770" s="19"/>
      <c r="N8770" s="19"/>
      <c r="P8770" s="19"/>
      <c r="AL8770" s="19"/>
    </row>
    <row r="8771" spans="1:38" s="11" customFormat="1" x14ac:dyDescent="0.25">
      <c r="A8771" s="3"/>
      <c r="F8771" s="19"/>
      <c r="G8771" s="19"/>
      <c r="N8771" s="19"/>
      <c r="P8771" s="19"/>
      <c r="AL8771" s="19"/>
    </row>
    <row r="8772" spans="1:38" s="11" customFormat="1" x14ac:dyDescent="0.25">
      <c r="A8772" s="3"/>
      <c r="F8772" s="19"/>
      <c r="G8772" s="19"/>
      <c r="N8772" s="19"/>
      <c r="P8772" s="19"/>
      <c r="AL8772" s="19"/>
    </row>
    <row r="8773" spans="1:38" s="11" customFormat="1" x14ac:dyDescent="0.25">
      <c r="A8773" s="3"/>
      <c r="F8773" s="19"/>
      <c r="G8773" s="19"/>
      <c r="N8773" s="19"/>
      <c r="P8773" s="19"/>
      <c r="AL8773" s="19"/>
    </row>
    <row r="8774" spans="1:38" s="11" customFormat="1" x14ac:dyDescent="0.25">
      <c r="A8774" s="3"/>
      <c r="F8774" s="19"/>
      <c r="G8774" s="19"/>
      <c r="N8774" s="19"/>
      <c r="P8774" s="19"/>
      <c r="AL8774" s="19"/>
    </row>
    <row r="8775" spans="1:38" s="11" customFormat="1" x14ac:dyDescent="0.25">
      <c r="A8775" s="3"/>
      <c r="F8775" s="19"/>
      <c r="G8775" s="19"/>
      <c r="N8775" s="19"/>
      <c r="P8775" s="19"/>
      <c r="AL8775" s="19"/>
    </row>
    <row r="8776" spans="1:38" s="11" customFormat="1" x14ac:dyDescent="0.25">
      <c r="A8776" s="3"/>
      <c r="F8776" s="19"/>
      <c r="G8776" s="19"/>
      <c r="N8776" s="19"/>
      <c r="P8776" s="19"/>
      <c r="AL8776" s="19"/>
    </row>
    <row r="8777" spans="1:38" s="11" customFormat="1" x14ac:dyDescent="0.25">
      <c r="A8777" s="3"/>
      <c r="F8777" s="19"/>
      <c r="G8777" s="19"/>
      <c r="N8777" s="19"/>
      <c r="P8777" s="19"/>
      <c r="AL8777" s="19"/>
    </row>
    <row r="8778" spans="1:38" s="11" customFormat="1" x14ac:dyDescent="0.25">
      <c r="A8778" s="3"/>
      <c r="F8778" s="19"/>
      <c r="G8778" s="19"/>
      <c r="N8778" s="19"/>
      <c r="P8778" s="19"/>
      <c r="AL8778" s="19"/>
    </row>
    <row r="8779" spans="1:38" s="11" customFormat="1" x14ac:dyDescent="0.25">
      <c r="A8779" s="3"/>
      <c r="F8779" s="19"/>
      <c r="G8779" s="19"/>
      <c r="N8779" s="19"/>
      <c r="P8779" s="19"/>
      <c r="AL8779" s="19"/>
    </row>
    <row r="8780" spans="1:38" s="11" customFormat="1" x14ac:dyDescent="0.25">
      <c r="A8780" s="3"/>
      <c r="F8780" s="19"/>
      <c r="G8780" s="19"/>
      <c r="N8780" s="19"/>
      <c r="P8780" s="19"/>
      <c r="AL8780" s="19"/>
    </row>
    <row r="8781" spans="1:38" s="11" customFormat="1" x14ac:dyDescent="0.25">
      <c r="A8781" s="3"/>
      <c r="F8781" s="19"/>
      <c r="G8781" s="19"/>
      <c r="N8781" s="19"/>
      <c r="P8781" s="19"/>
      <c r="AL8781" s="19"/>
    </row>
    <row r="8782" spans="1:38" s="11" customFormat="1" x14ac:dyDescent="0.25">
      <c r="A8782" s="3"/>
      <c r="F8782" s="19"/>
      <c r="G8782" s="19"/>
      <c r="N8782" s="19"/>
      <c r="P8782" s="19"/>
      <c r="AL8782" s="19"/>
    </row>
    <row r="8783" spans="1:38" s="11" customFormat="1" x14ac:dyDescent="0.25">
      <c r="A8783" s="3"/>
      <c r="F8783" s="19"/>
      <c r="G8783" s="19"/>
      <c r="N8783" s="19"/>
      <c r="P8783" s="19"/>
      <c r="AL8783" s="19"/>
    </row>
    <row r="8784" spans="1:38" s="11" customFormat="1" x14ac:dyDescent="0.25">
      <c r="A8784" s="3"/>
      <c r="F8784" s="19"/>
      <c r="G8784" s="19"/>
      <c r="N8784" s="19"/>
      <c r="P8784" s="19"/>
      <c r="AL8784" s="19"/>
    </row>
    <row r="8785" spans="1:38" s="11" customFormat="1" x14ac:dyDescent="0.25">
      <c r="A8785" s="3"/>
      <c r="F8785" s="19"/>
      <c r="G8785" s="19"/>
      <c r="N8785" s="19"/>
      <c r="P8785" s="19"/>
      <c r="AL8785" s="19"/>
    </row>
    <row r="8786" spans="1:38" s="11" customFormat="1" x14ac:dyDescent="0.25">
      <c r="A8786" s="3"/>
      <c r="F8786" s="19"/>
      <c r="G8786" s="19"/>
      <c r="N8786" s="19"/>
      <c r="P8786" s="19"/>
      <c r="AL8786" s="19"/>
    </row>
    <row r="8787" spans="1:38" s="11" customFormat="1" x14ac:dyDescent="0.25">
      <c r="A8787" s="3"/>
      <c r="F8787" s="19"/>
      <c r="G8787" s="19"/>
      <c r="N8787" s="19"/>
      <c r="P8787" s="19"/>
      <c r="AL8787" s="19"/>
    </row>
    <row r="8788" spans="1:38" s="11" customFormat="1" x14ac:dyDescent="0.25">
      <c r="A8788" s="3"/>
      <c r="F8788" s="19"/>
      <c r="G8788" s="19"/>
      <c r="N8788" s="19"/>
      <c r="P8788" s="19"/>
      <c r="AL8788" s="19"/>
    </row>
    <row r="8789" spans="1:38" s="11" customFormat="1" x14ac:dyDescent="0.25">
      <c r="A8789" s="3"/>
      <c r="F8789" s="19"/>
      <c r="G8789" s="19"/>
      <c r="N8789" s="19"/>
      <c r="P8789" s="19"/>
      <c r="AL8789" s="19"/>
    </row>
    <row r="8790" spans="1:38" s="11" customFormat="1" x14ac:dyDescent="0.25">
      <c r="A8790" s="3"/>
      <c r="F8790" s="19"/>
      <c r="G8790" s="19"/>
      <c r="N8790" s="19"/>
      <c r="P8790" s="19"/>
      <c r="AL8790" s="19"/>
    </row>
    <row r="8791" spans="1:38" s="11" customFormat="1" x14ac:dyDescent="0.25">
      <c r="A8791" s="3"/>
      <c r="F8791" s="19"/>
      <c r="G8791" s="19"/>
      <c r="N8791" s="19"/>
      <c r="P8791" s="19"/>
      <c r="AL8791" s="19"/>
    </row>
    <row r="8792" spans="1:38" s="11" customFormat="1" x14ac:dyDescent="0.25">
      <c r="A8792" s="3"/>
      <c r="F8792" s="19"/>
      <c r="G8792" s="19"/>
      <c r="N8792" s="19"/>
      <c r="P8792" s="19"/>
      <c r="AL8792" s="19"/>
    </row>
    <row r="8793" spans="1:38" s="11" customFormat="1" x14ac:dyDescent="0.25">
      <c r="A8793" s="3"/>
      <c r="F8793" s="19"/>
      <c r="G8793" s="19"/>
      <c r="N8793" s="19"/>
      <c r="P8793" s="19"/>
      <c r="AL8793" s="19"/>
    </row>
    <row r="8794" spans="1:38" s="11" customFormat="1" x14ac:dyDescent="0.25">
      <c r="A8794" s="3"/>
      <c r="F8794" s="19"/>
      <c r="G8794" s="19"/>
      <c r="N8794" s="19"/>
      <c r="P8794" s="19"/>
      <c r="AL8794" s="19"/>
    </row>
    <row r="8795" spans="1:38" s="11" customFormat="1" x14ac:dyDescent="0.25">
      <c r="A8795" s="3"/>
      <c r="F8795" s="19"/>
      <c r="G8795" s="19"/>
      <c r="N8795" s="19"/>
      <c r="P8795" s="19"/>
      <c r="AL8795" s="19"/>
    </row>
    <row r="8796" spans="1:38" s="11" customFormat="1" x14ac:dyDescent="0.25">
      <c r="A8796" s="3"/>
      <c r="F8796" s="19"/>
      <c r="G8796" s="19"/>
      <c r="N8796" s="19"/>
      <c r="P8796" s="19"/>
      <c r="AL8796" s="19"/>
    </row>
    <row r="8797" spans="1:38" s="11" customFormat="1" x14ac:dyDescent="0.25">
      <c r="A8797" s="3"/>
      <c r="F8797" s="19"/>
      <c r="G8797" s="19"/>
      <c r="N8797" s="19"/>
      <c r="P8797" s="19"/>
      <c r="AL8797" s="19"/>
    </row>
    <row r="8798" spans="1:38" s="11" customFormat="1" x14ac:dyDescent="0.25">
      <c r="A8798" s="3"/>
      <c r="F8798" s="19"/>
      <c r="G8798" s="19"/>
      <c r="N8798" s="19"/>
      <c r="P8798" s="19"/>
      <c r="AL8798" s="19"/>
    </row>
    <row r="8799" spans="1:38" s="11" customFormat="1" x14ac:dyDescent="0.25">
      <c r="A8799" s="3"/>
      <c r="F8799" s="19"/>
      <c r="G8799" s="19"/>
      <c r="N8799" s="19"/>
      <c r="P8799" s="19"/>
      <c r="AL8799" s="19"/>
    </row>
    <row r="8800" spans="1:38" s="11" customFormat="1" x14ac:dyDescent="0.25">
      <c r="A8800" s="3"/>
      <c r="F8800" s="19"/>
      <c r="G8800" s="19"/>
      <c r="N8800" s="19"/>
      <c r="P8800" s="19"/>
      <c r="AL8800" s="19"/>
    </row>
    <row r="8801" spans="1:38" s="11" customFormat="1" x14ac:dyDescent="0.25">
      <c r="A8801" s="3"/>
      <c r="F8801" s="19"/>
      <c r="G8801" s="19"/>
      <c r="N8801" s="19"/>
      <c r="P8801" s="19"/>
      <c r="AL8801" s="19"/>
    </row>
    <row r="8802" spans="1:38" s="11" customFormat="1" x14ac:dyDescent="0.25">
      <c r="A8802" s="3"/>
      <c r="F8802" s="19"/>
      <c r="G8802" s="19"/>
      <c r="N8802" s="19"/>
      <c r="P8802" s="19"/>
      <c r="AL8802" s="19"/>
    </row>
    <row r="8803" spans="1:38" s="11" customFormat="1" x14ac:dyDescent="0.25">
      <c r="A8803" s="3"/>
      <c r="F8803" s="19"/>
      <c r="G8803" s="19"/>
      <c r="N8803" s="19"/>
      <c r="P8803" s="19"/>
      <c r="AL8803" s="19"/>
    </row>
    <row r="8804" spans="1:38" s="11" customFormat="1" x14ac:dyDescent="0.25">
      <c r="A8804" s="3"/>
      <c r="F8804" s="19"/>
      <c r="G8804" s="19"/>
      <c r="N8804" s="19"/>
      <c r="P8804" s="19"/>
      <c r="AL8804" s="19"/>
    </row>
    <row r="8805" spans="1:38" s="11" customFormat="1" x14ac:dyDescent="0.25">
      <c r="A8805" s="3"/>
      <c r="F8805" s="19"/>
      <c r="G8805" s="19"/>
      <c r="N8805" s="19"/>
      <c r="P8805" s="19"/>
      <c r="AL8805" s="19"/>
    </row>
    <row r="8806" spans="1:38" s="11" customFormat="1" x14ac:dyDescent="0.25">
      <c r="A8806" s="3"/>
      <c r="F8806" s="19"/>
      <c r="G8806" s="19"/>
      <c r="N8806" s="19"/>
      <c r="P8806" s="19"/>
      <c r="AL8806" s="19"/>
    </row>
    <row r="8807" spans="1:38" s="11" customFormat="1" x14ac:dyDescent="0.25">
      <c r="A8807" s="3"/>
      <c r="F8807" s="19"/>
      <c r="G8807" s="19"/>
      <c r="N8807" s="19"/>
      <c r="P8807" s="19"/>
      <c r="AL8807" s="19"/>
    </row>
    <row r="8808" spans="1:38" s="11" customFormat="1" x14ac:dyDescent="0.25">
      <c r="A8808" s="3"/>
      <c r="F8808" s="19"/>
      <c r="G8808" s="19"/>
      <c r="N8808" s="19"/>
      <c r="P8808" s="19"/>
      <c r="AL8808" s="19"/>
    </row>
    <row r="8809" spans="1:38" s="11" customFormat="1" x14ac:dyDescent="0.25">
      <c r="A8809" s="3"/>
      <c r="F8809" s="19"/>
      <c r="G8809" s="19"/>
      <c r="N8809" s="19"/>
      <c r="P8809" s="19"/>
      <c r="AL8809" s="19"/>
    </row>
    <row r="8810" spans="1:38" s="11" customFormat="1" x14ac:dyDescent="0.25">
      <c r="A8810" s="3"/>
      <c r="F8810" s="19"/>
      <c r="G8810" s="19"/>
      <c r="N8810" s="19"/>
      <c r="P8810" s="19"/>
      <c r="AL8810" s="19"/>
    </row>
    <row r="8811" spans="1:38" s="11" customFormat="1" x14ac:dyDescent="0.25">
      <c r="A8811" s="3"/>
      <c r="F8811" s="19"/>
      <c r="G8811" s="19"/>
      <c r="N8811" s="19"/>
      <c r="P8811" s="19"/>
      <c r="AL8811" s="19"/>
    </row>
    <row r="8812" spans="1:38" s="11" customFormat="1" x14ac:dyDescent="0.25">
      <c r="A8812" s="3"/>
      <c r="F8812" s="19"/>
      <c r="G8812" s="19"/>
      <c r="N8812" s="19"/>
      <c r="P8812" s="19"/>
      <c r="AL8812" s="19"/>
    </row>
    <row r="8813" spans="1:38" s="11" customFormat="1" x14ac:dyDescent="0.25">
      <c r="A8813" s="3"/>
      <c r="F8813" s="19"/>
      <c r="G8813" s="19"/>
      <c r="N8813" s="19"/>
      <c r="P8813" s="19"/>
      <c r="AL8813" s="19"/>
    </row>
    <row r="8814" spans="1:38" s="11" customFormat="1" x14ac:dyDescent="0.25">
      <c r="A8814" s="3"/>
      <c r="F8814" s="19"/>
      <c r="G8814" s="19"/>
      <c r="N8814" s="19"/>
      <c r="P8814" s="19"/>
      <c r="AL8814" s="19"/>
    </row>
    <row r="8815" spans="1:38" s="11" customFormat="1" x14ac:dyDescent="0.25">
      <c r="A8815" s="3"/>
      <c r="F8815" s="19"/>
      <c r="G8815" s="19"/>
      <c r="N8815" s="19"/>
      <c r="P8815" s="19"/>
      <c r="AL8815" s="19"/>
    </row>
    <row r="8816" spans="1:38" s="11" customFormat="1" x14ac:dyDescent="0.25">
      <c r="A8816" s="3"/>
      <c r="F8816" s="19"/>
      <c r="G8816" s="19"/>
      <c r="N8816" s="19"/>
      <c r="P8816" s="19"/>
      <c r="AL8816" s="19"/>
    </row>
    <row r="8817" spans="1:38" s="11" customFormat="1" x14ac:dyDescent="0.25">
      <c r="A8817" s="3"/>
      <c r="F8817" s="19"/>
      <c r="G8817" s="19"/>
      <c r="N8817" s="19"/>
      <c r="P8817" s="19"/>
      <c r="AL8817" s="19"/>
    </row>
    <row r="8818" spans="1:38" s="11" customFormat="1" x14ac:dyDescent="0.25">
      <c r="A8818" s="3"/>
      <c r="F8818" s="19"/>
      <c r="G8818" s="19"/>
      <c r="N8818" s="19"/>
      <c r="P8818" s="19"/>
      <c r="AL8818" s="19"/>
    </row>
    <row r="8819" spans="1:38" s="11" customFormat="1" x14ac:dyDescent="0.25">
      <c r="A8819" s="3"/>
      <c r="F8819" s="19"/>
      <c r="G8819" s="19"/>
      <c r="N8819" s="19"/>
      <c r="P8819" s="19"/>
      <c r="AL8819" s="19"/>
    </row>
    <row r="8820" spans="1:38" s="11" customFormat="1" x14ac:dyDescent="0.25">
      <c r="A8820" s="3"/>
      <c r="F8820" s="19"/>
      <c r="G8820" s="19"/>
      <c r="N8820" s="19"/>
      <c r="P8820" s="19"/>
      <c r="AL8820" s="19"/>
    </row>
    <row r="8821" spans="1:38" s="11" customFormat="1" x14ac:dyDescent="0.25">
      <c r="A8821" s="3"/>
      <c r="F8821" s="19"/>
      <c r="G8821" s="19"/>
      <c r="N8821" s="19"/>
      <c r="P8821" s="19"/>
      <c r="AL8821" s="19"/>
    </row>
    <row r="8822" spans="1:38" s="11" customFormat="1" x14ac:dyDescent="0.25">
      <c r="A8822" s="3"/>
      <c r="F8822" s="19"/>
      <c r="G8822" s="19"/>
      <c r="N8822" s="19"/>
      <c r="P8822" s="19"/>
      <c r="AL8822" s="19"/>
    </row>
    <row r="8823" spans="1:38" s="11" customFormat="1" x14ac:dyDescent="0.25">
      <c r="A8823" s="3"/>
      <c r="F8823" s="19"/>
      <c r="G8823" s="19"/>
      <c r="N8823" s="19"/>
      <c r="P8823" s="19"/>
      <c r="AL8823" s="19"/>
    </row>
    <row r="8824" spans="1:38" s="11" customFormat="1" x14ac:dyDescent="0.25">
      <c r="A8824" s="3"/>
      <c r="F8824" s="19"/>
      <c r="G8824" s="19"/>
      <c r="N8824" s="19"/>
      <c r="P8824" s="19"/>
      <c r="AL8824" s="19"/>
    </row>
    <row r="8825" spans="1:38" s="11" customFormat="1" x14ac:dyDescent="0.25">
      <c r="A8825" s="3"/>
      <c r="F8825" s="19"/>
      <c r="G8825" s="19"/>
      <c r="N8825" s="19"/>
      <c r="P8825" s="19"/>
      <c r="AL8825" s="19"/>
    </row>
    <row r="8826" spans="1:38" s="11" customFormat="1" x14ac:dyDescent="0.25">
      <c r="A8826" s="3"/>
      <c r="F8826" s="19"/>
      <c r="G8826" s="19"/>
      <c r="N8826" s="19"/>
      <c r="P8826" s="19"/>
      <c r="AL8826" s="19"/>
    </row>
    <row r="8827" spans="1:38" s="11" customFormat="1" x14ac:dyDescent="0.25">
      <c r="A8827" s="3"/>
      <c r="F8827" s="19"/>
      <c r="G8827" s="19"/>
      <c r="N8827" s="19"/>
      <c r="P8827" s="19"/>
      <c r="AL8827" s="19"/>
    </row>
    <row r="8828" spans="1:38" s="11" customFormat="1" x14ac:dyDescent="0.25">
      <c r="A8828" s="3"/>
      <c r="F8828" s="19"/>
      <c r="G8828" s="19"/>
      <c r="N8828" s="19"/>
      <c r="P8828" s="19"/>
      <c r="AL8828" s="19"/>
    </row>
    <row r="8829" spans="1:38" s="11" customFormat="1" x14ac:dyDescent="0.25">
      <c r="A8829" s="3"/>
      <c r="F8829" s="19"/>
      <c r="G8829" s="19"/>
      <c r="N8829" s="19"/>
      <c r="P8829" s="19"/>
      <c r="AL8829" s="19"/>
    </row>
    <row r="8830" spans="1:38" s="11" customFormat="1" x14ac:dyDescent="0.25">
      <c r="A8830" s="3"/>
      <c r="F8830" s="19"/>
      <c r="G8830" s="19"/>
      <c r="N8830" s="19"/>
      <c r="P8830" s="19"/>
      <c r="AL8830" s="19"/>
    </row>
    <row r="8831" spans="1:38" s="11" customFormat="1" x14ac:dyDescent="0.25">
      <c r="A8831" s="3"/>
      <c r="F8831" s="19"/>
      <c r="G8831" s="19"/>
      <c r="N8831" s="19"/>
      <c r="P8831" s="19"/>
      <c r="AL8831" s="19"/>
    </row>
    <row r="8832" spans="1:38" s="11" customFormat="1" x14ac:dyDescent="0.25">
      <c r="A8832" s="3"/>
      <c r="F8832" s="19"/>
      <c r="G8832" s="19"/>
      <c r="N8832" s="19"/>
      <c r="P8832" s="19"/>
      <c r="AL8832" s="19"/>
    </row>
    <row r="8833" spans="1:38" s="11" customFormat="1" x14ac:dyDescent="0.25">
      <c r="A8833" s="3"/>
      <c r="F8833" s="19"/>
      <c r="G8833" s="19"/>
      <c r="N8833" s="19"/>
      <c r="P8833" s="19"/>
      <c r="AL8833" s="19"/>
    </row>
    <row r="8834" spans="1:38" s="11" customFormat="1" x14ac:dyDescent="0.25">
      <c r="A8834" s="3"/>
      <c r="F8834" s="19"/>
      <c r="G8834" s="19"/>
      <c r="N8834" s="19"/>
      <c r="P8834" s="19"/>
      <c r="AL8834" s="19"/>
    </row>
    <row r="8835" spans="1:38" s="11" customFormat="1" x14ac:dyDescent="0.25">
      <c r="A8835" s="3"/>
      <c r="F8835" s="19"/>
      <c r="G8835" s="19"/>
      <c r="N8835" s="19"/>
      <c r="P8835" s="19"/>
      <c r="AL8835" s="19"/>
    </row>
    <row r="8836" spans="1:38" s="11" customFormat="1" x14ac:dyDescent="0.25">
      <c r="A8836" s="3"/>
      <c r="F8836" s="19"/>
      <c r="G8836" s="19"/>
      <c r="N8836" s="19"/>
      <c r="P8836" s="19"/>
      <c r="AL8836" s="19"/>
    </row>
    <row r="8837" spans="1:38" s="11" customFormat="1" x14ac:dyDescent="0.25">
      <c r="A8837" s="3"/>
      <c r="F8837" s="19"/>
      <c r="G8837" s="19"/>
      <c r="N8837" s="19"/>
      <c r="P8837" s="19"/>
      <c r="AL8837" s="19"/>
    </row>
    <row r="8838" spans="1:38" s="11" customFormat="1" x14ac:dyDescent="0.25">
      <c r="A8838" s="3"/>
      <c r="F8838" s="19"/>
      <c r="G8838" s="19"/>
      <c r="N8838" s="19"/>
      <c r="P8838" s="19"/>
      <c r="AL8838" s="19"/>
    </row>
    <row r="8839" spans="1:38" s="11" customFormat="1" x14ac:dyDescent="0.25">
      <c r="A8839" s="3"/>
      <c r="F8839" s="19"/>
      <c r="G8839" s="19"/>
      <c r="N8839" s="19"/>
      <c r="P8839" s="19"/>
      <c r="AL8839" s="19"/>
    </row>
    <row r="8840" spans="1:38" s="11" customFormat="1" x14ac:dyDescent="0.25">
      <c r="A8840" s="3"/>
      <c r="F8840" s="19"/>
      <c r="G8840" s="19"/>
      <c r="N8840" s="19"/>
      <c r="P8840" s="19"/>
      <c r="AL8840" s="19"/>
    </row>
    <row r="8841" spans="1:38" s="11" customFormat="1" x14ac:dyDescent="0.25">
      <c r="A8841" s="3"/>
      <c r="F8841" s="19"/>
      <c r="G8841" s="19"/>
      <c r="N8841" s="19"/>
      <c r="P8841" s="19"/>
      <c r="AL8841" s="19"/>
    </row>
    <row r="8842" spans="1:38" s="11" customFormat="1" x14ac:dyDescent="0.25">
      <c r="A8842" s="3"/>
      <c r="F8842" s="19"/>
      <c r="G8842" s="19"/>
      <c r="N8842" s="19"/>
      <c r="P8842" s="19"/>
      <c r="AL8842" s="19"/>
    </row>
    <row r="8843" spans="1:38" s="11" customFormat="1" x14ac:dyDescent="0.25">
      <c r="A8843" s="3"/>
      <c r="F8843" s="19"/>
      <c r="G8843" s="19"/>
      <c r="N8843" s="19"/>
      <c r="P8843" s="19"/>
      <c r="AL8843" s="19"/>
    </row>
    <row r="8844" spans="1:38" s="11" customFormat="1" x14ac:dyDescent="0.25">
      <c r="A8844" s="3"/>
      <c r="F8844" s="19"/>
      <c r="G8844" s="19"/>
      <c r="N8844" s="19"/>
      <c r="P8844" s="19"/>
      <c r="AL8844" s="19"/>
    </row>
    <row r="8845" spans="1:38" s="11" customFormat="1" x14ac:dyDescent="0.25">
      <c r="A8845" s="3"/>
      <c r="F8845" s="19"/>
      <c r="G8845" s="19"/>
      <c r="N8845" s="19"/>
      <c r="P8845" s="19"/>
      <c r="AL8845" s="19"/>
    </row>
    <row r="8846" spans="1:38" s="11" customFormat="1" x14ac:dyDescent="0.25">
      <c r="A8846" s="3"/>
      <c r="F8846" s="19"/>
      <c r="G8846" s="19"/>
      <c r="N8846" s="19"/>
      <c r="P8846" s="19"/>
      <c r="AL8846" s="19"/>
    </row>
    <row r="8847" spans="1:38" s="11" customFormat="1" x14ac:dyDescent="0.25">
      <c r="A8847" s="3"/>
      <c r="F8847" s="19"/>
      <c r="G8847" s="19"/>
      <c r="N8847" s="19"/>
      <c r="P8847" s="19"/>
      <c r="AL8847" s="19"/>
    </row>
    <row r="8848" spans="1:38" s="11" customFormat="1" x14ac:dyDescent="0.25">
      <c r="A8848" s="3"/>
      <c r="F8848" s="19"/>
      <c r="G8848" s="19"/>
      <c r="N8848" s="19"/>
      <c r="P8848" s="19"/>
      <c r="AL8848" s="19"/>
    </row>
    <row r="8849" spans="1:38" s="11" customFormat="1" x14ac:dyDescent="0.25">
      <c r="A8849" s="3"/>
      <c r="F8849" s="19"/>
      <c r="G8849" s="19"/>
      <c r="N8849" s="19"/>
      <c r="P8849" s="19"/>
      <c r="AL8849" s="19"/>
    </row>
    <row r="8850" spans="1:38" s="11" customFormat="1" x14ac:dyDescent="0.25">
      <c r="A8850" s="3"/>
      <c r="F8850" s="19"/>
      <c r="G8850" s="19"/>
      <c r="N8850" s="19"/>
      <c r="P8850" s="19"/>
      <c r="AL8850" s="19"/>
    </row>
    <row r="8851" spans="1:38" s="11" customFormat="1" x14ac:dyDescent="0.25">
      <c r="A8851" s="3"/>
      <c r="F8851" s="19"/>
      <c r="G8851" s="19"/>
      <c r="N8851" s="19"/>
      <c r="P8851" s="19"/>
      <c r="AL8851" s="19"/>
    </row>
    <row r="8852" spans="1:38" s="11" customFormat="1" x14ac:dyDescent="0.25">
      <c r="A8852" s="3"/>
      <c r="F8852" s="19"/>
      <c r="G8852" s="19"/>
      <c r="N8852" s="19"/>
      <c r="P8852" s="19"/>
      <c r="AL8852" s="19"/>
    </row>
    <row r="8853" spans="1:38" s="11" customFormat="1" x14ac:dyDescent="0.25">
      <c r="A8853" s="3"/>
      <c r="F8853" s="19"/>
      <c r="G8853" s="19"/>
      <c r="N8853" s="19"/>
      <c r="P8853" s="19"/>
      <c r="AL8853" s="19"/>
    </row>
    <row r="8854" spans="1:38" s="11" customFormat="1" x14ac:dyDescent="0.25">
      <c r="A8854" s="3"/>
      <c r="F8854" s="19"/>
      <c r="G8854" s="19"/>
      <c r="N8854" s="19"/>
      <c r="P8854" s="19"/>
      <c r="AL8854" s="19"/>
    </row>
    <row r="8855" spans="1:38" s="11" customFormat="1" x14ac:dyDescent="0.25">
      <c r="A8855" s="3"/>
      <c r="F8855" s="19"/>
      <c r="G8855" s="19"/>
      <c r="N8855" s="19"/>
      <c r="P8855" s="19"/>
      <c r="AL8855" s="19"/>
    </row>
    <row r="8856" spans="1:38" s="11" customFormat="1" x14ac:dyDescent="0.25">
      <c r="A8856" s="3"/>
      <c r="F8856" s="19"/>
      <c r="G8856" s="19"/>
      <c r="N8856" s="19"/>
      <c r="P8856" s="19"/>
      <c r="AL8856" s="19"/>
    </row>
    <row r="8857" spans="1:38" s="11" customFormat="1" x14ac:dyDescent="0.25">
      <c r="A8857" s="3"/>
      <c r="F8857" s="19"/>
      <c r="G8857" s="19"/>
      <c r="N8857" s="19"/>
      <c r="P8857" s="19"/>
      <c r="AL8857" s="19"/>
    </row>
    <row r="8858" spans="1:38" s="11" customFormat="1" x14ac:dyDescent="0.25">
      <c r="A8858" s="3"/>
      <c r="F8858" s="19"/>
      <c r="G8858" s="19"/>
      <c r="N8858" s="19"/>
      <c r="P8858" s="19"/>
      <c r="AL8858" s="19"/>
    </row>
    <row r="8859" spans="1:38" s="11" customFormat="1" x14ac:dyDescent="0.25">
      <c r="A8859" s="3"/>
      <c r="F8859" s="19"/>
      <c r="G8859" s="19"/>
      <c r="N8859" s="19"/>
      <c r="P8859" s="19"/>
      <c r="AL8859" s="19"/>
    </row>
    <row r="8860" spans="1:38" s="11" customFormat="1" x14ac:dyDescent="0.25">
      <c r="A8860" s="3"/>
      <c r="F8860" s="19"/>
      <c r="G8860" s="19"/>
      <c r="N8860" s="19"/>
      <c r="P8860" s="19"/>
      <c r="AL8860" s="19"/>
    </row>
    <row r="8861" spans="1:38" s="11" customFormat="1" x14ac:dyDescent="0.25">
      <c r="A8861" s="3"/>
      <c r="F8861" s="19"/>
      <c r="G8861" s="19"/>
      <c r="N8861" s="19"/>
      <c r="P8861" s="19"/>
      <c r="AL8861" s="19"/>
    </row>
    <row r="8862" spans="1:38" s="11" customFormat="1" x14ac:dyDescent="0.25">
      <c r="A8862" s="3"/>
      <c r="F8862" s="19"/>
      <c r="G8862" s="19"/>
      <c r="N8862" s="19"/>
      <c r="P8862" s="19"/>
      <c r="AL8862" s="19"/>
    </row>
    <row r="8863" spans="1:38" s="11" customFormat="1" x14ac:dyDescent="0.25">
      <c r="A8863" s="3"/>
      <c r="F8863" s="19"/>
      <c r="G8863" s="19"/>
      <c r="N8863" s="19"/>
      <c r="P8863" s="19"/>
      <c r="AL8863" s="19"/>
    </row>
    <row r="8864" spans="1:38" s="11" customFormat="1" x14ac:dyDescent="0.25">
      <c r="A8864" s="3"/>
      <c r="F8864" s="19"/>
      <c r="G8864" s="19"/>
      <c r="N8864" s="19"/>
      <c r="P8864" s="19"/>
      <c r="AL8864" s="19"/>
    </row>
    <row r="8865" spans="1:38" s="11" customFormat="1" x14ac:dyDescent="0.25">
      <c r="A8865" s="3"/>
      <c r="F8865" s="19"/>
      <c r="G8865" s="19"/>
      <c r="N8865" s="19"/>
      <c r="P8865" s="19"/>
      <c r="AL8865" s="19"/>
    </row>
    <row r="8866" spans="1:38" s="11" customFormat="1" x14ac:dyDescent="0.25">
      <c r="A8866" s="3"/>
      <c r="F8866" s="19"/>
      <c r="G8866" s="19"/>
      <c r="N8866" s="19"/>
      <c r="P8866" s="19"/>
      <c r="AL8866" s="19"/>
    </row>
    <row r="8867" spans="1:38" s="11" customFormat="1" x14ac:dyDescent="0.25">
      <c r="A8867" s="3"/>
      <c r="F8867" s="19"/>
      <c r="G8867" s="19"/>
      <c r="N8867" s="19"/>
      <c r="P8867" s="19"/>
      <c r="AL8867" s="19"/>
    </row>
    <row r="8868" spans="1:38" s="11" customFormat="1" x14ac:dyDescent="0.25">
      <c r="A8868" s="3"/>
      <c r="F8868" s="19"/>
      <c r="G8868" s="19"/>
      <c r="N8868" s="19"/>
      <c r="P8868" s="19"/>
      <c r="AL8868" s="19"/>
    </row>
    <row r="8869" spans="1:38" s="11" customFormat="1" x14ac:dyDescent="0.25">
      <c r="A8869" s="3"/>
      <c r="F8869" s="19"/>
      <c r="G8869" s="19"/>
      <c r="N8869" s="19"/>
      <c r="P8869" s="19"/>
      <c r="AL8869" s="19"/>
    </row>
    <row r="8870" spans="1:38" s="11" customFormat="1" x14ac:dyDescent="0.25">
      <c r="A8870" s="3"/>
      <c r="F8870" s="19"/>
      <c r="G8870" s="19"/>
      <c r="N8870" s="19"/>
      <c r="P8870" s="19"/>
      <c r="AL8870" s="19"/>
    </row>
    <row r="8871" spans="1:38" s="11" customFormat="1" x14ac:dyDescent="0.25">
      <c r="A8871" s="3"/>
      <c r="F8871" s="19"/>
      <c r="G8871" s="19"/>
      <c r="N8871" s="19"/>
      <c r="P8871" s="19"/>
      <c r="AL8871" s="19"/>
    </row>
    <row r="8872" spans="1:38" s="11" customFormat="1" x14ac:dyDescent="0.25">
      <c r="A8872" s="3"/>
      <c r="F8872" s="19"/>
      <c r="G8872" s="19"/>
      <c r="N8872" s="19"/>
      <c r="P8872" s="19"/>
      <c r="AL8872" s="19"/>
    </row>
    <row r="8873" spans="1:38" s="11" customFormat="1" x14ac:dyDescent="0.25">
      <c r="A8873" s="3"/>
      <c r="F8873" s="19"/>
      <c r="G8873" s="19"/>
      <c r="N8873" s="19"/>
      <c r="P8873" s="19"/>
      <c r="AL8873" s="19"/>
    </row>
    <row r="8874" spans="1:38" s="11" customFormat="1" x14ac:dyDescent="0.25">
      <c r="A8874" s="3"/>
      <c r="F8874" s="19"/>
      <c r="G8874" s="19"/>
      <c r="N8874" s="19"/>
      <c r="P8874" s="19"/>
      <c r="AL8874" s="19"/>
    </row>
    <row r="8875" spans="1:38" s="11" customFormat="1" x14ac:dyDescent="0.25">
      <c r="A8875" s="3"/>
      <c r="F8875" s="19"/>
      <c r="G8875" s="19"/>
      <c r="N8875" s="19"/>
      <c r="P8875" s="19"/>
      <c r="AL8875" s="19"/>
    </row>
    <row r="8876" spans="1:38" s="11" customFormat="1" x14ac:dyDescent="0.25">
      <c r="A8876" s="3"/>
      <c r="F8876" s="19"/>
      <c r="G8876" s="19"/>
      <c r="N8876" s="19"/>
      <c r="P8876" s="19"/>
      <c r="AL8876" s="19"/>
    </row>
    <row r="8877" spans="1:38" s="11" customFormat="1" x14ac:dyDescent="0.25">
      <c r="A8877" s="3"/>
      <c r="F8877" s="19"/>
      <c r="G8877" s="19"/>
      <c r="N8877" s="19"/>
      <c r="P8877" s="19"/>
      <c r="AL8877" s="19"/>
    </row>
    <row r="8878" spans="1:38" s="11" customFormat="1" x14ac:dyDescent="0.25">
      <c r="A8878" s="3"/>
      <c r="F8878" s="19"/>
      <c r="G8878" s="19"/>
      <c r="N8878" s="19"/>
      <c r="P8878" s="19"/>
      <c r="AL8878" s="19"/>
    </row>
    <row r="8879" spans="1:38" s="11" customFormat="1" x14ac:dyDescent="0.25">
      <c r="A8879" s="3"/>
      <c r="F8879" s="19"/>
      <c r="G8879" s="19"/>
      <c r="N8879" s="19"/>
      <c r="P8879" s="19"/>
      <c r="AL8879" s="19"/>
    </row>
    <row r="8880" spans="1:38" s="11" customFormat="1" x14ac:dyDescent="0.25">
      <c r="A8880" s="3"/>
      <c r="F8880" s="19"/>
      <c r="G8880" s="19"/>
      <c r="N8880" s="19"/>
      <c r="P8880" s="19"/>
      <c r="AL8880" s="19"/>
    </row>
    <row r="8881" spans="1:38" s="11" customFormat="1" x14ac:dyDescent="0.25">
      <c r="A8881" s="3"/>
      <c r="F8881" s="19"/>
      <c r="G8881" s="19"/>
      <c r="N8881" s="19"/>
      <c r="P8881" s="19"/>
      <c r="AL8881" s="19"/>
    </row>
    <row r="8882" spans="1:38" s="11" customFormat="1" x14ac:dyDescent="0.25">
      <c r="A8882" s="3"/>
      <c r="F8882" s="19"/>
      <c r="G8882" s="19"/>
      <c r="N8882" s="19"/>
      <c r="P8882" s="19"/>
      <c r="AL8882" s="19"/>
    </row>
    <row r="8883" spans="1:38" s="11" customFormat="1" x14ac:dyDescent="0.25">
      <c r="A8883" s="3"/>
      <c r="F8883" s="19"/>
      <c r="G8883" s="19"/>
      <c r="N8883" s="19"/>
      <c r="P8883" s="19"/>
      <c r="AL8883" s="19"/>
    </row>
    <row r="8884" spans="1:38" s="11" customFormat="1" x14ac:dyDescent="0.25">
      <c r="A8884" s="3"/>
      <c r="F8884" s="19"/>
      <c r="G8884" s="19"/>
      <c r="N8884" s="19"/>
      <c r="P8884" s="19"/>
      <c r="AL8884" s="19"/>
    </row>
    <row r="8885" spans="1:38" s="11" customFormat="1" x14ac:dyDescent="0.25">
      <c r="A8885" s="3"/>
      <c r="F8885" s="19"/>
      <c r="G8885" s="19"/>
      <c r="N8885" s="19"/>
      <c r="P8885" s="19"/>
      <c r="AL8885" s="19"/>
    </row>
    <row r="8886" spans="1:38" s="11" customFormat="1" x14ac:dyDescent="0.25">
      <c r="A8886" s="3"/>
      <c r="F8886" s="19"/>
      <c r="G8886" s="19"/>
      <c r="N8886" s="19"/>
      <c r="P8886" s="19"/>
      <c r="AL8886" s="19"/>
    </row>
    <row r="8887" spans="1:38" s="11" customFormat="1" x14ac:dyDescent="0.25">
      <c r="A8887" s="3"/>
      <c r="F8887" s="19"/>
      <c r="G8887" s="19"/>
      <c r="N8887" s="19"/>
      <c r="P8887" s="19"/>
      <c r="AL8887" s="19"/>
    </row>
    <row r="8888" spans="1:38" s="11" customFormat="1" x14ac:dyDescent="0.25">
      <c r="A8888" s="3"/>
      <c r="F8888" s="19"/>
      <c r="G8888" s="19"/>
      <c r="N8888" s="19"/>
      <c r="P8888" s="19"/>
      <c r="AL8888" s="19"/>
    </row>
    <row r="8889" spans="1:38" s="11" customFormat="1" x14ac:dyDescent="0.25">
      <c r="A8889" s="3"/>
      <c r="F8889" s="19"/>
      <c r="G8889" s="19"/>
      <c r="N8889" s="19"/>
      <c r="P8889" s="19"/>
      <c r="AL8889" s="19"/>
    </row>
    <row r="8890" spans="1:38" s="11" customFormat="1" x14ac:dyDescent="0.25">
      <c r="A8890" s="3"/>
      <c r="F8890" s="19"/>
      <c r="G8890" s="19"/>
      <c r="N8890" s="19"/>
      <c r="P8890" s="19"/>
      <c r="AL8890" s="19"/>
    </row>
    <row r="8891" spans="1:38" s="11" customFormat="1" x14ac:dyDescent="0.25">
      <c r="A8891" s="3"/>
      <c r="F8891" s="19"/>
      <c r="G8891" s="19"/>
      <c r="N8891" s="19"/>
      <c r="P8891" s="19"/>
      <c r="AL8891" s="19"/>
    </row>
    <row r="8892" spans="1:38" s="11" customFormat="1" x14ac:dyDescent="0.25">
      <c r="A8892" s="3"/>
      <c r="F8892" s="19"/>
      <c r="G8892" s="19"/>
      <c r="N8892" s="19"/>
      <c r="P8892" s="19"/>
      <c r="AL8892" s="19"/>
    </row>
    <row r="8893" spans="1:38" s="11" customFormat="1" x14ac:dyDescent="0.25">
      <c r="A8893" s="3"/>
      <c r="F8893" s="19"/>
      <c r="G8893" s="19"/>
      <c r="N8893" s="19"/>
      <c r="P8893" s="19"/>
      <c r="AL8893" s="19"/>
    </row>
    <row r="8894" spans="1:38" s="11" customFormat="1" x14ac:dyDescent="0.25">
      <c r="A8894" s="3"/>
      <c r="F8894" s="19"/>
      <c r="G8894" s="19"/>
      <c r="N8894" s="19"/>
      <c r="P8894" s="19"/>
      <c r="AL8894" s="19"/>
    </row>
    <row r="8895" spans="1:38" s="11" customFormat="1" x14ac:dyDescent="0.25">
      <c r="A8895" s="3"/>
      <c r="F8895" s="19"/>
      <c r="G8895" s="19"/>
      <c r="N8895" s="19"/>
      <c r="P8895" s="19"/>
      <c r="AL8895" s="19"/>
    </row>
    <row r="8896" spans="1:38" s="11" customFormat="1" x14ac:dyDescent="0.25">
      <c r="A8896" s="3"/>
      <c r="F8896" s="19"/>
      <c r="G8896" s="19"/>
      <c r="N8896" s="19"/>
      <c r="P8896" s="19"/>
      <c r="AL8896" s="19"/>
    </row>
    <row r="8897" spans="1:38" s="11" customFormat="1" x14ac:dyDescent="0.25">
      <c r="A8897" s="3"/>
      <c r="F8897" s="19"/>
      <c r="G8897" s="19"/>
      <c r="N8897" s="19"/>
      <c r="P8897" s="19"/>
      <c r="AL8897" s="19"/>
    </row>
    <row r="8898" spans="1:38" s="11" customFormat="1" x14ac:dyDescent="0.25">
      <c r="A8898" s="3"/>
      <c r="F8898" s="19"/>
      <c r="G8898" s="19"/>
      <c r="N8898" s="19"/>
      <c r="P8898" s="19"/>
      <c r="AL8898" s="19"/>
    </row>
    <row r="8899" spans="1:38" s="11" customFormat="1" x14ac:dyDescent="0.25">
      <c r="A8899" s="3"/>
      <c r="F8899" s="19"/>
      <c r="G8899" s="19"/>
      <c r="N8899" s="19"/>
      <c r="P8899" s="19"/>
      <c r="AL8899" s="19"/>
    </row>
    <row r="8900" spans="1:38" s="11" customFormat="1" x14ac:dyDescent="0.25">
      <c r="A8900" s="3"/>
      <c r="F8900" s="19"/>
      <c r="G8900" s="19"/>
      <c r="N8900" s="19"/>
      <c r="P8900" s="19"/>
      <c r="AL8900" s="19"/>
    </row>
    <row r="8901" spans="1:38" s="11" customFormat="1" x14ac:dyDescent="0.25">
      <c r="A8901" s="3"/>
      <c r="F8901" s="19"/>
      <c r="G8901" s="19"/>
      <c r="N8901" s="19"/>
      <c r="P8901" s="19"/>
      <c r="AL8901" s="19"/>
    </row>
    <row r="8902" spans="1:38" s="11" customFormat="1" x14ac:dyDescent="0.25">
      <c r="A8902" s="3"/>
      <c r="F8902" s="19"/>
      <c r="G8902" s="19"/>
      <c r="N8902" s="19"/>
      <c r="P8902" s="19"/>
      <c r="AL8902" s="19"/>
    </row>
    <row r="8903" spans="1:38" s="11" customFormat="1" x14ac:dyDescent="0.25">
      <c r="A8903" s="3"/>
      <c r="F8903" s="19"/>
      <c r="G8903" s="19"/>
      <c r="N8903" s="19"/>
      <c r="P8903" s="19"/>
      <c r="AL8903" s="19"/>
    </row>
    <row r="8904" spans="1:38" s="11" customFormat="1" x14ac:dyDescent="0.25">
      <c r="A8904" s="3"/>
      <c r="F8904" s="19"/>
      <c r="G8904" s="19"/>
      <c r="N8904" s="19"/>
      <c r="P8904" s="19"/>
      <c r="AL8904" s="19"/>
    </row>
    <row r="8905" spans="1:38" s="11" customFormat="1" x14ac:dyDescent="0.25">
      <c r="A8905" s="3"/>
      <c r="F8905" s="19"/>
      <c r="G8905" s="19"/>
      <c r="N8905" s="19"/>
      <c r="P8905" s="19"/>
      <c r="AL8905" s="19"/>
    </row>
    <row r="8906" spans="1:38" s="11" customFormat="1" x14ac:dyDescent="0.25">
      <c r="A8906" s="3"/>
      <c r="F8906" s="19"/>
      <c r="G8906" s="19"/>
      <c r="N8906" s="19"/>
      <c r="P8906" s="19"/>
      <c r="AL8906" s="19"/>
    </row>
    <row r="8907" spans="1:38" s="11" customFormat="1" x14ac:dyDescent="0.25">
      <c r="A8907" s="3"/>
      <c r="F8907" s="19"/>
      <c r="G8907" s="19"/>
      <c r="N8907" s="19"/>
      <c r="P8907" s="19"/>
      <c r="AL8907" s="19"/>
    </row>
    <row r="8908" spans="1:38" s="11" customFormat="1" x14ac:dyDescent="0.25">
      <c r="A8908" s="3"/>
      <c r="F8908" s="19"/>
      <c r="G8908" s="19"/>
      <c r="N8908" s="19"/>
      <c r="P8908" s="19"/>
      <c r="AL8908" s="19"/>
    </row>
    <row r="8909" spans="1:38" s="11" customFormat="1" x14ac:dyDescent="0.25">
      <c r="A8909" s="3"/>
      <c r="F8909" s="19"/>
      <c r="G8909" s="19"/>
      <c r="N8909" s="19"/>
      <c r="P8909" s="19"/>
      <c r="AL8909" s="19"/>
    </row>
    <row r="8910" spans="1:38" s="11" customFormat="1" x14ac:dyDescent="0.25">
      <c r="A8910" s="3"/>
      <c r="F8910" s="19"/>
      <c r="G8910" s="19"/>
      <c r="N8910" s="19"/>
      <c r="P8910" s="19"/>
      <c r="AL8910" s="19"/>
    </row>
    <row r="8911" spans="1:38" s="11" customFormat="1" x14ac:dyDescent="0.25">
      <c r="A8911" s="3"/>
      <c r="F8911" s="19"/>
      <c r="G8911" s="19"/>
      <c r="N8911" s="19"/>
      <c r="P8911" s="19"/>
      <c r="AL8911" s="19"/>
    </row>
    <row r="8912" spans="1:38" s="11" customFormat="1" x14ac:dyDescent="0.25">
      <c r="A8912" s="3"/>
      <c r="F8912" s="19"/>
      <c r="G8912" s="19"/>
      <c r="N8912" s="19"/>
      <c r="P8912" s="19"/>
      <c r="AL8912" s="19"/>
    </row>
    <row r="8913" spans="1:38" s="11" customFormat="1" x14ac:dyDescent="0.25">
      <c r="A8913" s="3"/>
      <c r="F8913" s="19"/>
      <c r="G8913" s="19"/>
      <c r="N8913" s="19"/>
      <c r="P8913" s="19"/>
      <c r="AL8913" s="19"/>
    </row>
    <row r="8914" spans="1:38" s="11" customFormat="1" x14ac:dyDescent="0.25">
      <c r="A8914" s="3"/>
      <c r="F8914" s="19"/>
      <c r="G8914" s="19"/>
      <c r="N8914" s="19"/>
      <c r="P8914" s="19"/>
      <c r="AL8914" s="19"/>
    </row>
    <row r="8915" spans="1:38" s="11" customFormat="1" x14ac:dyDescent="0.25">
      <c r="A8915" s="3"/>
      <c r="F8915" s="19"/>
      <c r="G8915" s="19"/>
      <c r="N8915" s="19"/>
      <c r="P8915" s="19"/>
      <c r="AL8915" s="19"/>
    </row>
    <row r="8916" spans="1:38" s="11" customFormat="1" x14ac:dyDescent="0.25">
      <c r="A8916" s="3"/>
      <c r="F8916" s="19"/>
      <c r="G8916" s="19"/>
      <c r="N8916" s="19"/>
      <c r="P8916" s="19"/>
      <c r="AL8916" s="19"/>
    </row>
    <row r="8917" spans="1:38" s="11" customFormat="1" x14ac:dyDescent="0.25">
      <c r="A8917" s="3"/>
      <c r="F8917" s="19"/>
      <c r="G8917" s="19"/>
      <c r="N8917" s="19"/>
      <c r="P8917" s="19"/>
      <c r="AL8917" s="19"/>
    </row>
    <row r="8918" spans="1:38" s="11" customFormat="1" x14ac:dyDescent="0.25">
      <c r="A8918" s="3"/>
      <c r="F8918" s="19"/>
      <c r="G8918" s="19"/>
      <c r="N8918" s="19"/>
      <c r="P8918" s="19"/>
      <c r="AL8918" s="19"/>
    </row>
    <row r="8919" spans="1:38" s="11" customFormat="1" x14ac:dyDescent="0.25">
      <c r="A8919" s="3"/>
      <c r="F8919" s="19"/>
      <c r="G8919" s="19"/>
      <c r="N8919" s="19"/>
      <c r="P8919" s="19"/>
      <c r="AL8919" s="19"/>
    </row>
    <row r="8920" spans="1:38" s="11" customFormat="1" x14ac:dyDescent="0.25">
      <c r="A8920" s="3"/>
      <c r="F8920" s="19"/>
      <c r="G8920" s="19"/>
      <c r="N8920" s="19"/>
      <c r="P8920" s="19"/>
      <c r="AL8920" s="19"/>
    </row>
    <row r="8921" spans="1:38" s="11" customFormat="1" x14ac:dyDescent="0.25">
      <c r="A8921" s="3"/>
      <c r="F8921" s="19"/>
      <c r="G8921" s="19"/>
      <c r="N8921" s="19"/>
      <c r="P8921" s="19"/>
      <c r="AL8921" s="19"/>
    </row>
    <row r="8922" spans="1:38" s="11" customFormat="1" x14ac:dyDescent="0.25">
      <c r="A8922" s="3"/>
      <c r="F8922" s="19"/>
      <c r="G8922" s="19"/>
      <c r="N8922" s="19"/>
      <c r="P8922" s="19"/>
      <c r="AL8922" s="19"/>
    </row>
    <row r="8923" spans="1:38" s="11" customFormat="1" x14ac:dyDescent="0.25">
      <c r="A8923" s="3"/>
      <c r="F8923" s="19"/>
      <c r="G8923" s="19"/>
      <c r="N8923" s="19"/>
      <c r="P8923" s="19"/>
      <c r="AL8923" s="19"/>
    </row>
    <row r="8924" spans="1:38" s="11" customFormat="1" x14ac:dyDescent="0.25">
      <c r="A8924" s="3"/>
      <c r="F8924" s="19"/>
      <c r="G8924" s="19"/>
      <c r="N8924" s="19"/>
      <c r="P8924" s="19"/>
      <c r="AL8924" s="19"/>
    </row>
    <row r="8925" spans="1:38" s="11" customFormat="1" x14ac:dyDescent="0.25">
      <c r="A8925" s="3"/>
      <c r="F8925" s="19"/>
      <c r="G8925" s="19"/>
      <c r="N8925" s="19"/>
      <c r="P8925" s="19"/>
      <c r="AL8925" s="19"/>
    </row>
    <row r="8926" spans="1:38" s="11" customFormat="1" x14ac:dyDescent="0.25">
      <c r="A8926" s="3"/>
      <c r="F8926" s="19"/>
      <c r="G8926" s="19"/>
      <c r="N8926" s="19"/>
      <c r="P8926" s="19"/>
      <c r="AL8926" s="19"/>
    </row>
    <row r="8927" spans="1:38" s="11" customFormat="1" x14ac:dyDescent="0.25">
      <c r="A8927" s="3"/>
      <c r="F8927" s="19"/>
      <c r="G8927" s="19"/>
      <c r="N8927" s="19"/>
      <c r="P8927" s="19"/>
      <c r="AL8927" s="19"/>
    </row>
    <row r="8928" spans="1:38" s="11" customFormat="1" x14ac:dyDescent="0.25">
      <c r="A8928" s="3"/>
      <c r="F8928" s="19"/>
      <c r="G8928" s="19"/>
      <c r="N8928" s="19"/>
      <c r="P8928" s="19"/>
      <c r="AL8928" s="19"/>
    </row>
    <row r="8929" spans="1:38" s="11" customFormat="1" x14ac:dyDescent="0.25">
      <c r="A8929" s="3"/>
      <c r="F8929" s="19"/>
      <c r="G8929" s="19"/>
      <c r="N8929" s="19"/>
      <c r="P8929" s="19"/>
      <c r="AL8929" s="19"/>
    </row>
    <row r="8930" spans="1:38" s="11" customFormat="1" x14ac:dyDescent="0.25">
      <c r="A8930" s="3"/>
      <c r="F8930" s="19"/>
      <c r="G8930" s="19"/>
      <c r="N8930" s="19"/>
      <c r="P8930" s="19"/>
      <c r="AL8930" s="19"/>
    </row>
    <row r="8931" spans="1:38" s="11" customFormat="1" x14ac:dyDescent="0.25">
      <c r="A8931" s="3"/>
      <c r="F8931" s="19"/>
      <c r="G8931" s="19"/>
      <c r="N8931" s="19"/>
      <c r="P8931" s="19"/>
      <c r="AL8931" s="19"/>
    </row>
    <row r="8932" spans="1:38" s="11" customFormat="1" x14ac:dyDescent="0.25">
      <c r="A8932" s="3"/>
      <c r="F8932" s="19"/>
      <c r="G8932" s="19"/>
      <c r="N8932" s="19"/>
      <c r="P8932" s="19"/>
      <c r="AL8932" s="19"/>
    </row>
    <row r="8933" spans="1:38" s="11" customFormat="1" x14ac:dyDescent="0.25">
      <c r="A8933" s="3"/>
      <c r="F8933" s="19"/>
      <c r="G8933" s="19"/>
      <c r="N8933" s="19"/>
      <c r="P8933" s="19"/>
      <c r="AL8933" s="19"/>
    </row>
    <row r="8934" spans="1:38" s="11" customFormat="1" x14ac:dyDescent="0.25">
      <c r="A8934" s="3"/>
      <c r="F8934" s="19"/>
      <c r="G8934" s="19"/>
      <c r="N8934" s="19"/>
      <c r="P8934" s="19"/>
      <c r="AL8934" s="19"/>
    </row>
    <row r="8935" spans="1:38" s="11" customFormat="1" x14ac:dyDescent="0.25">
      <c r="A8935" s="3"/>
      <c r="F8935" s="19"/>
      <c r="G8935" s="19"/>
      <c r="N8935" s="19"/>
      <c r="P8935" s="19"/>
      <c r="AL8935" s="19"/>
    </row>
    <row r="8936" spans="1:38" s="11" customFormat="1" x14ac:dyDescent="0.25">
      <c r="A8936" s="3"/>
      <c r="F8936" s="19"/>
      <c r="G8936" s="19"/>
      <c r="N8936" s="19"/>
      <c r="P8936" s="19"/>
      <c r="AL8936" s="19"/>
    </row>
    <row r="8937" spans="1:38" s="11" customFormat="1" x14ac:dyDescent="0.25">
      <c r="A8937" s="3"/>
      <c r="F8937" s="19"/>
      <c r="G8937" s="19"/>
      <c r="N8937" s="19"/>
      <c r="P8937" s="19"/>
      <c r="AL8937" s="19"/>
    </row>
    <row r="8938" spans="1:38" s="11" customFormat="1" x14ac:dyDescent="0.25">
      <c r="A8938" s="3"/>
      <c r="F8938" s="19"/>
      <c r="G8938" s="19"/>
      <c r="N8938" s="19"/>
      <c r="P8938" s="19"/>
      <c r="AL8938" s="19"/>
    </row>
    <row r="8939" spans="1:38" s="11" customFormat="1" x14ac:dyDescent="0.25">
      <c r="A8939" s="3"/>
      <c r="F8939" s="19"/>
      <c r="G8939" s="19"/>
      <c r="N8939" s="19"/>
      <c r="P8939" s="19"/>
      <c r="AL8939" s="19"/>
    </row>
    <row r="8940" spans="1:38" s="11" customFormat="1" x14ac:dyDescent="0.25">
      <c r="A8940" s="3"/>
      <c r="F8940" s="19"/>
      <c r="G8940" s="19"/>
      <c r="N8940" s="19"/>
      <c r="P8940" s="19"/>
      <c r="AL8940" s="19"/>
    </row>
    <row r="8941" spans="1:38" s="11" customFormat="1" x14ac:dyDescent="0.25">
      <c r="A8941" s="3"/>
      <c r="F8941" s="19"/>
      <c r="G8941" s="19"/>
      <c r="N8941" s="19"/>
      <c r="P8941" s="19"/>
      <c r="AL8941" s="19"/>
    </row>
    <row r="8942" spans="1:38" s="11" customFormat="1" x14ac:dyDescent="0.25">
      <c r="A8942" s="3"/>
      <c r="F8942" s="19"/>
      <c r="G8942" s="19"/>
      <c r="N8942" s="19"/>
      <c r="P8942" s="19"/>
      <c r="AL8942" s="19"/>
    </row>
    <row r="8943" spans="1:38" s="11" customFormat="1" x14ac:dyDescent="0.25">
      <c r="A8943" s="3"/>
      <c r="F8943" s="19"/>
      <c r="G8943" s="19"/>
      <c r="N8943" s="19"/>
      <c r="P8943" s="19"/>
      <c r="AL8943" s="19"/>
    </row>
    <row r="8944" spans="1:38" s="11" customFormat="1" x14ac:dyDescent="0.25">
      <c r="A8944" s="3"/>
      <c r="F8944" s="19"/>
      <c r="G8944" s="19"/>
      <c r="N8944" s="19"/>
      <c r="P8944" s="19"/>
      <c r="AL8944" s="19"/>
    </row>
    <row r="8945" spans="1:38" s="11" customFormat="1" x14ac:dyDescent="0.25">
      <c r="A8945" s="3"/>
      <c r="F8945" s="19"/>
      <c r="G8945" s="19"/>
      <c r="N8945" s="19"/>
      <c r="P8945" s="19"/>
      <c r="AL8945" s="19"/>
    </row>
    <row r="8946" spans="1:38" s="11" customFormat="1" x14ac:dyDescent="0.25">
      <c r="A8946" s="3"/>
      <c r="F8946" s="19"/>
      <c r="G8946" s="19"/>
      <c r="N8946" s="19"/>
      <c r="P8946" s="19"/>
      <c r="AL8946" s="19"/>
    </row>
    <row r="8947" spans="1:38" s="11" customFormat="1" x14ac:dyDescent="0.25">
      <c r="A8947" s="3"/>
      <c r="F8947" s="19"/>
      <c r="G8947" s="19"/>
      <c r="N8947" s="19"/>
      <c r="P8947" s="19"/>
      <c r="AL8947" s="19"/>
    </row>
    <row r="8948" spans="1:38" s="11" customFormat="1" x14ac:dyDescent="0.25">
      <c r="A8948" s="3"/>
      <c r="F8948" s="19"/>
      <c r="G8948" s="19"/>
      <c r="N8948" s="19"/>
      <c r="P8948" s="19"/>
      <c r="AL8948" s="19"/>
    </row>
    <row r="8949" spans="1:38" s="11" customFormat="1" x14ac:dyDescent="0.25">
      <c r="A8949" s="3"/>
      <c r="F8949" s="19"/>
      <c r="G8949" s="19"/>
      <c r="N8949" s="19"/>
      <c r="P8949" s="19"/>
      <c r="AL8949" s="19"/>
    </row>
    <row r="8950" spans="1:38" s="11" customFormat="1" x14ac:dyDescent="0.25">
      <c r="A8950" s="3"/>
      <c r="F8950" s="19"/>
      <c r="G8950" s="19"/>
      <c r="N8950" s="19"/>
      <c r="P8950" s="19"/>
      <c r="AL8950" s="19"/>
    </row>
    <row r="8951" spans="1:38" s="11" customFormat="1" x14ac:dyDescent="0.25">
      <c r="A8951" s="3"/>
      <c r="F8951" s="19"/>
      <c r="G8951" s="19"/>
      <c r="N8951" s="19"/>
      <c r="P8951" s="19"/>
      <c r="AL8951" s="19"/>
    </row>
    <row r="8952" spans="1:38" s="11" customFormat="1" x14ac:dyDescent="0.25">
      <c r="A8952" s="3"/>
      <c r="F8952" s="19"/>
      <c r="G8952" s="19"/>
      <c r="N8952" s="19"/>
      <c r="P8952" s="19"/>
      <c r="AL8952" s="19"/>
    </row>
    <row r="8953" spans="1:38" s="11" customFormat="1" x14ac:dyDescent="0.25">
      <c r="A8953" s="3"/>
      <c r="F8953" s="19"/>
      <c r="G8953" s="19"/>
      <c r="N8953" s="19"/>
      <c r="P8953" s="19"/>
      <c r="AL8953" s="19"/>
    </row>
    <row r="8954" spans="1:38" s="11" customFormat="1" x14ac:dyDescent="0.25">
      <c r="A8954" s="3"/>
      <c r="F8954" s="19"/>
      <c r="G8954" s="19"/>
      <c r="N8954" s="19"/>
      <c r="P8954" s="19"/>
      <c r="AL8954" s="19"/>
    </row>
    <row r="8955" spans="1:38" s="11" customFormat="1" x14ac:dyDescent="0.25">
      <c r="A8955" s="3"/>
      <c r="F8955" s="19"/>
      <c r="G8955" s="19"/>
      <c r="N8955" s="19"/>
      <c r="P8955" s="19"/>
      <c r="AL8955" s="19"/>
    </row>
    <row r="8956" spans="1:38" s="11" customFormat="1" x14ac:dyDescent="0.25">
      <c r="A8956" s="3"/>
      <c r="F8956" s="19"/>
      <c r="G8956" s="19"/>
      <c r="N8956" s="19"/>
      <c r="P8956" s="19"/>
      <c r="AL8956" s="19"/>
    </row>
    <row r="8957" spans="1:38" s="11" customFormat="1" x14ac:dyDescent="0.25">
      <c r="A8957" s="3"/>
      <c r="F8957" s="19"/>
      <c r="G8957" s="19"/>
      <c r="N8957" s="19"/>
      <c r="P8957" s="19"/>
      <c r="AL8957" s="19"/>
    </row>
    <row r="8958" spans="1:38" s="11" customFormat="1" x14ac:dyDescent="0.25">
      <c r="A8958" s="3"/>
      <c r="F8958" s="19"/>
      <c r="G8958" s="19"/>
      <c r="N8958" s="19"/>
      <c r="P8958" s="19"/>
      <c r="AL8958" s="19"/>
    </row>
    <row r="8959" spans="1:38" s="11" customFormat="1" x14ac:dyDescent="0.25">
      <c r="A8959" s="3"/>
      <c r="F8959" s="19"/>
      <c r="G8959" s="19"/>
      <c r="N8959" s="19"/>
      <c r="P8959" s="19"/>
      <c r="AL8959" s="19"/>
    </row>
    <row r="8960" spans="1:38" s="11" customFormat="1" x14ac:dyDescent="0.25">
      <c r="A8960" s="3"/>
      <c r="F8960" s="19"/>
      <c r="G8960" s="19"/>
      <c r="N8960" s="19"/>
      <c r="P8960" s="19"/>
      <c r="AL8960" s="19"/>
    </row>
    <row r="8961" spans="1:38" s="11" customFormat="1" x14ac:dyDescent="0.25">
      <c r="A8961" s="3"/>
      <c r="F8961" s="19"/>
      <c r="G8961" s="19"/>
      <c r="N8961" s="19"/>
      <c r="P8961" s="19"/>
      <c r="AL8961" s="19"/>
    </row>
    <row r="8962" spans="1:38" s="11" customFormat="1" x14ac:dyDescent="0.25">
      <c r="A8962" s="3"/>
      <c r="F8962" s="19"/>
      <c r="G8962" s="19"/>
      <c r="N8962" s="19"/>
      <c r="P8962" s="19"/>
      <c r="AL8962" s="19"/>
    </row>
    <row r="8963" spans="1:38" s="11" customFormat="1" x14ac:dyDescent="0.25">
      <c r="A8963" s="3"/>
      <c r="F8963" s="19"/>
      <c r="G8963" s="19"/>
      <c r="N8963" s="19"/>
      <c r="P8963" s="19"/>
      <c r="AL8963" s="19"/>
    </row>
    <row r="8964" spans="1:38" s="11" customFormat="1" x14ac:dyDescent="0.25">
      <c r="A8964" s="3"/>
      <c r="F8964" s="19"/>
      <c r="G8964" s="19"/>
      <c r="N8964" s="19"/>
      <c r="P8964" s="19"/>
      <c r="AL8964" s="19"/>
    </row>
    <row r="8965" spans="1:38" s="11" customFormat="1" x14ac:dyDescent="0.25">
      <c r="A8965" s="3"/>
      <c r="F8965" s="19"/>
      <c r="G8965" s="19"/>
      <c r="N8965" s="19"/>
      <c r="P8965" s="19"/>
      <c r="AL8965" s="19"/>
    </row>
    <row r="8966" spans="1:38" s="11" customFormat="1" x14ac:dyDescent="0.25">
      <c r="A8966" s="3"/>
      <c r="F8966" s="19"/>
      <c r="G8966" s="19"/>
      <c r="N8966" s="19"/>
      <c r="P8966" s="19"/>
      <c r="AL8966" s="19"/>
    </row>
    <row r="8967" spans="1:38" s="11" customFormat="1" x14ac:dyDescent="0.25">
      <c r="A8967" s="3"/>
      <c r="F8967" s="19"/>
      <c r="G8967" s="19"/>
      <c r="N8967" s="19"/>
      <c r="P8967" s="19"/>
      <c r="AL8967" s="19"/>
    </row>
    <row r="8968" spans="1:38" s="11" customFormat="1" x14ac:dyDescent="0.25">
      <c r="A8968" s="3"/>
      <c r="F8968" s="19"/>
      <c r="G8968" s="19"/>
      <c r="N8968" s="19"/>
      <c r="P8968" s="19"/>
      <c r="AL8968" s="19"/>
    </row>
    <row r="8969" spans="1:38" s="11" customFormat="1" x14ac:dyDescent="0.25">
      <c r="A8969" s="3"/>
      <c r="F8969" s="19"/>
      <c r="G8969" s="19"/>
      <c r="N8969" s="19"/>
      <c r="P8969" s="19"/>
      <c r="AL8969" s="19"/>
    </row>
    <row r="8970" spans="1:38" s="11" customFormat="1" x14ac:dyDescent="0.25">
      <c r="A8970" s="3"/>
      <c r="F8970" s="19"/>
      <c r="G8970" s="19"/>
      <c r="N8970" s="19"/>
      <c r="P8970" s="19"/>
      <c r="AL8970" s="19"/>
    </row>
    <row r="8971" spans="1:38" s="11" customFormat="1" x14ac:dyDescent="0.25">
      <c r="A8971" s="3"/>
      <c r="F8971" s="19"/>
      <c r="G8971" s="19"/>
      <c r="N8971" s="19"/>
      <c r="P8971" s="19"/>
      <c r="AL8971" s="19"/>
    </row>
    <row r="8972" spans="1:38" s="11" customFormat="1" x14ac:dyDescent="0.25">
      <c r="A8972" s="3"/>
      <c r="F8972" s="19"/>
      <c r="G8972" s="19"/>
      <c r="N8972" s="19"/>
      <c r="P8972" s="19"/>
      <c r="AL8972" s="19"/>
    </row>
    <row r="8973" spans="1:38" s="11" customFormat="1" x14ac:dyDescent="0.25">
      <c r="A8973" s="3"/>
      <c r="F8973" s="19"/>
      <c r="G8973" s="19"/>
      <c r="N8973" s="19"/>
      <c r="P8973" s="19"/>
      <c r="AL8973" s="19"/>
    </row>
    <row r="8974" spans="1:38" s="11" customFormat="1" x14ac:dyDescent="0.25">
      <c r="A8974" s="3"/>
      <c r="F8974" s="19"/>
      <c r="G8974" s="19"/>
      <c r="N8974" s="19"/>
      <c r="P8974" s="19"/>
      <c r="AL8974" s="19"/>
    </row>
    <row r="8975" spans="1:38" s="11" customFormat="1" x14ac:dyDescent="0.25">
      <c r="A8975" s="3"/>
      <c r="F8975" s="19"/>
      <c r="G8975" s="19"/>
      <c r="N8975" s="19"/>
      <c r="P8975" s="19"/>
      <c r="AL8975" s="19"/>
    </row>
    <row r="8976" spans="1:38" s="11" customFormat="1" x14ac:dyDescent="0.25">
      <c r="A8976" s="3"/>
      <c r="F8976" s="19"/>
      <c r="G8976" s="19"/>
      <c r="N8976" s="19"/>
      <c r="P8976" s="19"/>
      <c r="AL8976" s="19"/>
    </row>
    <row r="8977" spans="1:38" s="11" customFormat="1" x14ac:dyDescent="0.25">
      <c r="A8977" s="3"/>
      <c r="F8977" s="19"/>
      <c r="G8977" s="19"/>
      <c r="N8977" s="19"/>
      <c r="P8977" s="19"/>
      <c r="AL8977" s="19"/>
    </row>
    <row r="8978" spans="1:38" s="11" customFormat="1" x14ac:dyDescent="0.25">
      <c r="A8978" s="3"/>
      <c r="F8978" s="19"/>
      <c r="G8978" s="19"/>
      <c r="N8978" s="19"/>
      <c r="P8978" s="19"/>
      <c r="AL8978" s="19"/>
    </row>
    <row r="8979" spans="1:38" s="11" customFormat="1" x14ac:dyDescent="0.25">
      <c r="A8979" s="3"/>
      <c r="F8979" s="19"/>
      <c r="G8979" s="19"/>
      <c r="N8979" s="19"/>
      <c r="P8979" s="19"/>
      <c r="AL8979" s="19"/>
    </row>
    <row r="8980" spans="1:38" s="11" customFormat="1" x14ac:dyDescent="0.25">
      <c r="A8980" s="3"/>
      <c r="F8980" s="19"/>
      <c r="G8980" s="19"/>
      <c r="N8980" s="19"/>
      <c r="P8980" s="19"/>
      <c r="AL8980" s="19"/>
    </row>
    <row r="8981" spans="1:38" s="11" customFormat="1" x14ac:dyDescent="0.25">
      <c r="A8981" s="3"/>
      <c r="F8981" s="19"/>
      <c r="G8981" s="19"/>
      <c r="N8981" s="19"/>
      <c r="P8981" s="19"/>
      <c r="AL8981" s="19"/>
    </row>
    <row r="8982" spans="1:38" s="11" customFormat="1" x14ac:dyDescent="0.25">
      <c r="A8982" s="3"/>
      <c r="F8982" s="19"/>
      <c r="G8982" s="19"/>
      <c r="N8982" s="19"/>
      <c r="P8982" s="19"/>
      <c r="AL8982" s="19"/>
    </row>
    <row r="8983" spans="1:38" s="11" customFormat="1" x14ac:dyDescent="0.25">
      <c r="A8983" s="3"/>
      <c r="F8983" s="19"/>
      <c r="G8983" s="19"/>
      <c r="N8983" s="19"/>
      <c r="P8983" s="19"/>
      <c r="AL8983" s="19"/>
    </row>
    <row r="8984" spans="1:38" s="11" customFormat="1" x14ac:dyDescent="0.25">
      <c r="A8984" s="3"/>
      <c r="F8984" s="19"/>
      <c r="G8984" s="19"/>
      <c r="N8984" s="19"/>
      <c r="P8984" s="19"/>
      <c r="AL8984" s="19"/>
    </row>
    <row r="8985" spans="1:38" s="11" customFormat="1" x14ac:dyDescent="0.25">
      <c r="A8985" s="3"/>
      <c r="F8985" s="19"/>
      <c r="G8985" s="19"/>
      <c r="N8985" s="19"/>
      <c r="P8985" s="19"/>
      <c r="AL8985" s="19"/>
    </row>
    <row r="8986" spans="1:38" s="11" customFormat="1" x14ac:dyDescent="0.25">
      <c r="A8986" s="3"/>
      <c r="F8986" s="19"/>
      <c r="G8986" s="19"/>
      <c r="N8986" s="19"/>
      <c r="P8986" s="19"/>
      <c r="AL8986" s="19"/>
    </row>
    <row r="8987" spans="1:38" s="11" customFormat="1" x14ac:dyDescent="0.25">
      <c r="A8987" s="3"/>
      <c r="F8987" s="19"/>
      <c r="G8987" s="19"/>
      <c r="N8987" s="19"/>
      <c r="P8987" s="19"/>
      <c r="AL8987" s="19"/>
    </row>
    <row r="8988" spans="1:38" s="11" customFormat="1" x14ac:dyDescent="0.25">
      <c r="A8988" s="3"/>
      <c r="F8988" s="19"/>
      <c r="G8988" s="19"/>
      <c r="N8988" s="19"/>
      <c r="P8988" s="19"/>
      <c r="AL8988" s="19"/>
    </row>
    <row r="8989" spans="1:38" s="11" customFormat="1" x14ac:dyDescent="0.25">
      <c r="A8989" s="3"/>
      <c r="F8989" s="19"/>
      <c r="G8989" s="19"/>
      <c r="N8989" s="19"/>
      <c r="P8989" s="19"/>
      <c r="AL8989" s="19"/>
    </row>
    <row r="8990" spans="1:38" s="11" customFormat="1" x14ac:dyDescent="0.25">
      <c r="A8990" s="3"/>
      <c r="F8990" s="19"/>
      <c r="G8990" s="19"/>
      <c r="N8990" s="19"/>
      <c r="P8990" s="19"/>
      <c r="AL8990" s="19"/>
    </row>
    <row r="8991" spans="1:38" s="11" customFormat="1" x14ac:dyDescent="0.25">
      <c r="A8991" s="3"/>
      <c r="F8991" s="19"/>
      <c r="G8991" s="19"/>
      <c r="N8991" s="19"/>
      <c r="P8991" s="19"/>
      <c r="AL8991" s="19"/>
    </row>
    <row r="8992" spans="1:38" s="11" customFormat="1" x14ac:dyDescent="0.25">
      <c r="A8992" s="3"/>
      <c r="F8992" s="19"/>
      <c r="G8992" s="19"/>
      <c r="N8992" s="19"/>
      <c r="P8992" s="19"/>
      <c r="AL8992" s="19"/>
    </row>
    <row r="8993" spans="1:38" s="11" customFormat="1" x14ac:dyDescent="0.25">
      <c r="A8993" s="3"/>
      <c r="F8993" s="19"/>
      <c r="G8993" s="19"/>
      <c r="N8993" s="19"/>
      <c r="P8993" s="19"/>
      <c r="AL8993" s="19"/>
    </row>
    <row r="8994" spans="1:38" s="11" customFormat="1" x14ac:dyDescent="0.25">
      <c r="A8994" s="3"/>
      <c r="F8994" s="19"/>
      <c r="G8994" s="19"/>
      <c r="N8994" s="19"/>
      <c r="P8994" s="19"/>
      <c r="AL8994" s="19"/>
    </row>
    <row r="8995" spans="1:38" s="11" customFormat="1" x14ac:dyDescent="0.25">
      <c r="A8995" s="3"/>
      <c r="F8995" s="19"/>
      <c r="G8995" s="19"/>
      <c r="N8995" s="19"/>
      <c r="P8995" s="19"/>
      <c r="AL8995" s="19"/>
    </row>
    <row r="8996" spans="1:38" s="11" customFormat="1" x14ac:dyDescent="0.25">
      <c r="A8996" s="3"/>
      <c r="F8996" s="19"/>
      <c r="G8996" s="19"/>
      <c r="N8996" s="19"/>
      <c r="P8996" s="19"/>
      <c r="AL8996" s="19"/>
    </row>
    <row r="8997" spans="1:38" s="11" customFormat="1" x14ac:dyDescent="0.25">
      <c r="A8997" s="3"/>
      <c r="F8997" s="19"/>
      <c r="G8997" s="19"/>
      <c r="N8997" s="19"/>
      <c r="P8997" s="19"/>
      <c r="AL8997" s="19"/>
    </row>
    <row r="8998" spans="1:38" s="11" customFormat="1" x14ac:dyDescent="0.25">
      <c r="A8998" s="3"/>
      <c r="F8998" s="19"/>
      <c r="G8998" s="19"/>
      <c r="N8998" s="19"/>
      <c r="P8998" s="19"/>
      <c r="AL8998" s="19"/>
    </row>
    <row r="8999" spans="1:38" s="11" customFormat="1" x14ac:dyDescent="0.25">
      <c r="A8999" s="3"/>
      <c r="F8999" s="19"/>
      <c r="G8999" s="19"/>
      <c r="N8999" s="19"/>
      <c r="P8999" s="19"/>
      <c r="AL8999" s="19"/>
    </row>
    <row r="9000" spans="1:38" s="11" customFormat="1" x14ac:dyDescent="0.25">
      <c r="A9000" s="3"/>
      <c r="F9000" s="19"/>
      <c r="G9000" s="19"/>
      <c r="N9000" s="19"/>
      <c r="P9000" s="19"/>
      <c r="AL9000" s="19"/>
    </row>
    <row r="9001" spans="1:38" s="11" customFormat="1" x14ac:dyDescent="0.25">
      <c r="A9001" s="3"/>
      <c r="F9001" s="19"/>
      <c r="G9001" s="19"/>
      <c r="N9001" s="19"/>
      <c r="P9001" s="19"/>
      <c r="AL9001" s="19"/>
    </row>
    <row r="9002" spans="1:38" s="11" customFormat="1" x14ac:dyDescent="0.25">
      <c r="A9002" s="3"/>
      <c r="F9002" s="19"/>
      <c r="G9002" s="19"/>
      <c r="N9002" s="19"/>
      <c r="P9002" s="19"/>
      <c r="AL9002" s="19"/>
    </row>
    <row r="9003" spans="1:38" s="11" customFormat="1" x14ac:dyDescent="0.25">
      <c r="A9003" s="3"/>
      <c r="F9003" s="19"/>
      <c r="G9003" s="19"/>
      <c r="N9003" s="19"/>
      <c r="P9003" s="19"/>
      <c r="AL9003" s="19"/>
    </row>
    <row r="9004" spans="1:38" s="11" customFormat="1" x14ac:dyDescent="0.25">
      <c r="A9004" s="3"/>
      <c r="F9004" s="19"/>
      <c r="G9004" s="19"/>
      <c r="N9004" s="19"/>
      <c r="P9004" s="19"/>
      <c r="AL9004" s="19"/>
    </row>
    <row r="9005" spans="1:38" s="11" customFormat="1" x14ac:dyDescent="0.25">
      <c r="A9005" s="3"/>
      <c r="F9005" s="19"/>
      <c r="G9005" s="19"/>
      <c r="N9005" s="19"/>
      <c r="P9005" s="19"/>
      <c r="AL9005" s="19"/>
    </row>
    <row r="9006" spans="1:38" s="11" customFormat="1" x14ac:dyDescent="0.25">
      <c r="A9006" s="3"/>
      <c r="F9006" s="19"/>
      <c r="G9006" s="19"/>
      <c r="N9006" s="19"/>
      <c r="P9006" s="19"/>
      <c r="AL9006" s="19"/>
    </row>
    <row r="9007" spans="1:38" s="11" customFormat="1" x14ac:dyDescent="0.25">
      <c r="A9007" s="3"/>
      <c r="F9007" s="19"/>
      <c r="G9007" s="19"/>
      <c r="N9007" s="19"/>
      <c r="P9007" s="19"/>
      <c r="AL9007" s="19"/>
    </row>
    <row r="9008" spans="1:38" s="11" customFormat="1" x14ac:dyDescent="0.25">
      <c r="A9008" s="3"/>
      <c r="F9008" s="19"/>
      <c r="G9008" s="19"/>
      <c r="N9008" s="19"/>
      <c r="P9008" s="19"/>
      <c r="AL9008" s="19"/>
    </row>
    <row r="9009" spans="1:38" s="11" customFormat="1" x14ac:dyDescent="0.25">
      <c r="A9009" s="3"/>
      <c r="F9009" s="19"/>
      <c r="G9009" s="19"/>
      <c r="N9009" s="19"/>
      <c r="P9009" s="19"/>
      <c r="AL9009" s="19"/>
    </row>
    <row r="9010" spans="1:38" s="11" customFormat="1" x14ac:dyDescent="0.25">
      <c r="A9010" s="3"/>
      <c r="F9010" s="19"/>
      <c r="G9010" s="19"/>
      <c r="N9010" s="19"/>
      <c r="P9010" s="19"/>
      <c r="AL9010" s="19"/>
    </row>
    <row r="9011" spans="1:38" s="11" customFormat="1" x14ac:dyDescent="0.25">
      <c r="A9011" s="3"/>
      <c r="F9011" s="19"/>
      <c r="G9011" s="19"/>
      <c r="N9011" s="19"/>
      <c r="P9011" s="19"/>
      <c r="AL9011" s="19"/>
    </row>
    <row r="9012" spans="1:38" s="11" customFormat="1" x14ac:dyDescent="0.25">
      <c r="A9012" s="3"/>
      <c r="F9012" s="19"/>
      <c r="G9012" s="19"/>
      <c r="N9012" s="19"/>
      <c r="P9012" s="19"/>
      <c r="AL9012" s="19"/>
    </row>
    <row r="9013" spans="1:38" s="11" customFormat="1" x14ac:dyDescent="0.25">
      <c r="A9013" s="3"/>
      <c r="F9013" s="19"/>
      <c r="G9013" s="19"/>
      <c r="N9013" s="19"/>
      <c r="P9013" s="19"/>
      <c r="AL9013" s="19"/>
    </row>
    <row r="9014" spans="1:38" s="11" customFormat="1" x14ac:dyDescent="0.25">
      <c r="A9014" s="3"/>
      <c r="F9014" s="19"/>
      <c r="G9014" s="19"/>
      <c r="N9014" s="19"/>
      <c r="P9014" s="19"/>
      <c r="AL9014" s="19"/>
    </row>
    <row r="9015" spans="1:38" s="11" customFormat="1" x14ac:dyDescent="0.25">
      <c r="A9015" s="3"/>
      <c r="F9015" s="19"/>
      <c r="G9015" s="19"/>
      <c r="N9015" s="19"/>
      <c r="P9015" s="19"/>
      <c r="AL9015" s="19"/>
    </row>
    <row r="9016" spans="1:38" s="11" customFormat="1" x14ac:dyDescent="0.25">
      <c r="A9016" s="3"/>
      <c r="F9016" s="19"/>
      <c r="G9016" s="19"/>
      <c r="N9016" s="19"/>
      <c r="P9016" s="19"/>
      <c r="AL9016" s="19"/>
    </row>
    <row r="9017" spans="1:38" s="11" customFormat="1" x14ac:dyDescent="0.25">
      <c r="A9017" s="3"/>
      <c r="F9017" s="19"/>
      <c r="G9017" s="19"/>
      <c r="N9017" s="19"/>
      <c r="P9017" s="19"/>
      <c r="AL9017" s="19"/>
    </row>
    <row r="9018" spans="1:38" s="11" customFormat="1" x14ac:dyDescent="0.25">
      <c r="A9018" s="3"/>
      <c r="F9018" s="19"/>
      <c r="G9018" s="19"/>
      <c r="N9018" s="19"/>
      <c r="P9018" s="19"/>
      <c r="AL9018" s="19"/>
    </row>
    <row r="9019" spans="1:38" s="11" customFormat="1" x14ac:dyDescent="0.25">
      <c r="A9019" s="3"/>
      <c r="F9019" s="19"/>
      <c r="G9019" s="19"/>
      <c r="N9019" s="19"/>
      <c r="P9019" s="19"/>
      <c r="AL9019" s="19"/>
    </row>
    <row r="9020" spans="1:38" s="11" customFormat="1" x14ac:dyDescent="0.25">
      <c r="A9020" s="3"/>
      <c r="F9020" s="19"/>
      <c r="G9020" s="19"/>
      <c r="N9020" s="19"/>
      <c r="P9020" s="19"/>
      <c r="AL9020" s="19"/>
    </row>
    <row r="9021" spans="1:38" s="11" customFormat="1" x14ac:dyDescent="0.25">
      <c r="A9021" s="3"/>
      <c r="F9021" s="19"/>
      <c r="G9021" s="19"/>
      <c r="N9021" s="19"/>
      <c r="P9021" s="19"/>
      <c r="AL9021" s="19"/>
    </row>
    <row r="9022" spans="1:38" s="11" customFormat="1" x14ac:dyDescent="0.25">
      <c r="A9022" s="3"/>
      <c r="F9022" s="19"/>
      <c r="G9022" s="19"/>
      <c r="N9022" s="19"/>
      <c r="P9022" s="19"/>
      <c r="AL9022" s="19"/>
    </row>
    <row r="9023" spans="1:38" s="11" customFormat="1" x14ac:dyDescent="0.25">
      <c r="A9023" s="3"/>
      <c r="F9023" s="19"/>
      <c r="G9023" s="19"/>
      <c r="N9023" s="19"/>
      <c r="P9023" s="19"/>
      <c r="AL9023" s="19"/>
    </row>
    <row r="9024" spans="1:38" s="11" customFormat="1" x14ac:dyDescent="0.25">
      <c r="A9024" s="3"/>
      <c r="F9024" s="19"/>
      <c r="G9024" s="19"/>
      <c r="N9024" s="19"/>
      <c r="P9024" s="19"/>
      <c r="AL9024" s="19"/>
    </row>
    <row r="9025" spans="1:38" s="11" customFormat="1" x14ac:dyDescent="0.25">
      <c r="A9025" s="3"/>
      <c r="F9025" s="19"/>
      <c r="G9025" s="19"/>
      <c r="N9025" s="19"/>
      <c r="P9025" s="19"/>
      <c r="AL9025" s="19"/>
    </row>
    <row r="9026" spans="1:38" s="11" customFormat="1" x14ac:dyDescent="0.25">
      <c r="A9026" s="3"/>
      <c r="F9026" s="19"/>
      <c r="G9026" s="19"/>
      <c r="N9026" s="19"/>
      <c r="P9026" s="19"/>
      <c r="AL9026" s="19"/>
    </row>
    <row r="9027" spans="1:38" s="11" customFormat="1" x14ac:dyDescent="0.25">
      <c r="A9027" s="3"/>
      <c r="F9027" s="19"/>
      <c r="G9027" s="19"/>
      <c r="N9027" s="19"/>
      <c r="P9027" s="19"/>
      <c r="AL9027" s="19"/>
    </row>
    <row r="9028" spans="1:38" s="11" customFormat="1" x14ac:dyDescent="0.25">
      <c r="A9028" s="3"/>
      <c r="F9028" s="19"/>
      <c r="G9028" s="19"/>
      <c r="N9028" s="19"/>
      <c r="P9028" s="19"/>
      <c r="AL9028" s="19"/>
    </row>
    <row r="9029" spans="1:38" s="11" customFormat="1" x14ac:dyDescent="0.25">
      <c r="A9029" s="3"/>
      <c r="F9029" s="19"/>
      <c r="G9029" s="19"/>
      <c r="N9029" s="19"/>
      <c r="P9029" s="19"/>
      <c r="AL9029" s="19"/>
    </row>
    <row r="9030" spans="1:38" s="11" customFormat="1" x14ac:dyDescent="0.25">
      <c r="A9030" s="3"/>
      <c r="F9030" s="19"/>
      <c r="G9030" s="19"/>
      <c r="N9030" s="19"/>
      <c r="P9030" s="19"/>
      <c r="AL9030" s="19"/>
    </row>
    <row r="9031" spans="1:38" s="11" customFormat="1" x14ac:dyDescent="0.25">
      <c r="A9031" s="3"/>
      <c r="F9031" s="19"/>
      <c r="G9031" s="19"/>
      <c r="N9031" s="19"/>
      <c r="P9031" s="19"/>
      <c r="AL9031" s="19"/>
    </row>
    <row r="9032" spans="1:38" s="11" customFormat="1" x14ac:dyDescent="0.25">
      <c r="A9032" s="3"/>
      <c r="F9032" s="19"/>
      <c r="G9032" s="19"/>
      <c r="N9032" s="19"/>
      <c r="P9032" s="19"/>
      <c r="AL9032" s="19"/>
    </row>
    <row r="9033" spans="1:38" s="11" customFormat="1" x14ac:dyDescent="0.25">
      <c r="A9033" s="3"/>
      <c r="F9033" s="19"/>
      <c r="G9033" s="19"/>
      <c r="N9033" s="19"/>
      <c r="P9033" s="19"/>
      <c r="AL9033" s="19"/>
    </row>
    <row r="9034" spans="1:38" s="11" customFormat="1" x14ac:dyDescent="0.25">
      <c r="A9034" s="3"/>
      <c r="F9034" s="19"/>
      <c r="G9034" s="19"/>
      <c r="N9034" s="19"/>
      <c r="P9034" s="19"/>
      <c r="AL9034" s="19"/>
    </row>
    <row r="9035" spans="1:38" s="11" customFormat="1" x14ac:dyDescent="0.25">
      <c r="A9035" s="3"/>
      <c r="F9035" s="19"/>
      <c r="G9035" s="19"/>
      <c r="N9035" s="19"/>
      <c r="P9035" s="19"/>
      <c r="AL9035" s="19"/>
    </row>
    <row r="9036" spans="1:38" s="11" customFormat="1" x14ac:dyDescent="0.25">
      <c r="A9036" s="3"/>
      <c r="F9036" s="19"/>
      <c r="G9036" s="19"/>
      <c r="N9036" s="19"/>
      <c r="P9036" s="19"/>
      <c r="AL9036" s="19"/>
    </row>
    <row r="9037" spans="1:38" s="11" customFormat="1" x14ac:dyDescent="0.25">
      <c r="A9037" s="3"/>
      <c r="F9037" s="19"/>
      <c r="G9037" s="19"/>
      <c r="N9037" s="19"/>
      <c r="P9037" s="19"/>
      <c r="AL9037" s="19"/>
    </row>
    <row r="9038" spans="1:38" s="11" customFormat="1" x14ac:dyDescent="0.25">
      <c r="A9038" s="3"/>
      <c r="F9038" s="19"/>
      <c r="G9038" s="19"/>
      <c r="N9038" s="19"/>
      <c r="P9038" s="19"/>
      <c r="AL9038" s="19"/>
    </row>
    <row r="9039" spans="1:38" s="11" customFormat="1" x14ac:dyDescent="0.25">
      <c r="A9039" s="3"/>
      <c r="F9039" s="19"/>
      <c r="G9039" s="19"/>
      <c r="N9039" s="19"/>
      <c r="P9039" s="19"/>
      <c r="AL9039" s="19"/>
    </row>
    <row r="9040" spans="1:38" s="11" customFormat="1" x14ac:dyDescent="0.25">
      <c r="A9040" s="3"/>
      <c r="F9040" s="19"/>
      <c r="G9040" s="19"/>
      <c r="N9040" s="19"/>
      <c r="P9040" s="19"/>
      <c r="AL9040" s="19"/>
    </row>
    <row r="9041" spans="1:38" s="11" customFormat="1" x14ac:dyDescent="0.25">
      <c r="A9041" s="3"/>
      <c r="F9041" s="19"/>
      <c r="G9041" s="19"/>
      <c r="N9041" s="19"/>
      <c r="P9041" s="19"/>
      <c r="AL9041" s="19"/>
    </row>
    <row r="9042" spans="1:38" s="11" customFormat="1" x14ac:dyDescent="0.25">
      <c r="A9042" s="3"/>
      <c r="F9042" s="19"/>
      <c r="G9042" s="19"/>
      <c r="N9042" s="19"/>
      <c r="P9042" s="19"/>
      <c r="AL9042" s="19"/>
    </row>
    <row r="9043" spans="1:38" s="11" customFormat="1" x14ac:dyDescent="0.25">
      <c r="A9043" s="3"/>
      <c r="F9043" s="19"/>
      <c r="G9043" s="19"/>
      <c r="N9043" s="19"/>
      <c r="P9043" s="19"/>
      <c r="AL9043" s="19"/>
    </row>
    <row r="9044" spans="1:38" s="11" customFormat="1" x14ac:dyDescent="0.25">
      <c r="A9044" s="3"/>
      <c r="F9044" s="19"/>
      <c r="G9044" s="19"/>
      <c r="N9044" s="19"/>
      <c r="P9044" s="19"/>
      <c r="AL9044" s="19"/>
    </row>
    <row r="9045" spans="1:38" s="11" customFormat="1" x14ac:dyDescent="0.25">
      <c r="A9045" s="3"/>
      <c r="F9045" s="19"/>
      <c r="G9045" s="19"/>
      <c r="N9045" s="19"/>
      <c r="P9045" s="19"/>
      <c r="AL9045" s="19"/>
    </row>
    <row r="9046" spans="1:38" s="11" customFormat="1" x14ac:dyDescent="0.25">
      <c r="A9046" s="3"/>
      <c r="F9046" s="19"/>
      <c r="G9046" s="19"/>
      <c r="N9046" s="19"/>
      <c r="P9046" s="19"/>
      <c r="AL9046" s="19"/>
    </row>
    <row r="9047" spans="1:38" s="11" customFormat="1" x14ac:dyDescent="0.25">
      <c r="A9047" s="3"/>
      <c r="F9047" s="19"/>
      <c r="G9047" s="19"/>
      <c r="N9047" s="19"/>
      <c r="P9047" s="19"/>
      <c r="AL9047" s="19"/>
    </row>
    <row r="9048" spans="1:38" s="11" customFormat="1" x14ac:dyDescent="0.25">
      <c r="A9048" s="3"/>
      <c r="F9048" s="19"/>
      <c r="G9048" s="19"/>
      <c r="N9048" s="19"/>
      <c r="P9048" s="19"/>
      <c r="AL9048" s="19"/>
    </row>
    <row r="9049" spans="1:38" s="11" customFormat="1" x14ac:dyDescent="0.25">
      <c r="A9049" s="3"/>
      <c r="F9049" s="19"/>
      <c r="G9049" s="19"/>
      <c r="N9049" s="19"/>
      <c r="P9049" s="19"/>
      <c r="AL9049" s="19"/>
    </row>
    <row r="9050" spans="1:38" s="11" customFormat="1" x14ac:dyDescent="0.25">
      <c r="A9050" s="3"/>
      <c r="F9050" s="19"/>
      <c r="G9050" s="19"/>
      <c r="N9050" s="19"/>
      <c r="P9050" s="19"/>
      <c r="AL9050" s="19"/>
    </row>
    <row r="9051" spans="1:38" s="11" customFormat="1" x14ac:dyDescent="0.25">
      <c r="A9051" s="3"/>
      <c r="F9051" s="19"/>
      <c r="G9051" s="19"/>
      <c r="N9051" s="19"/>
      <c r="P9051" s="19"/>
      <c r="AL9051" s="19"/>
    </row>
    <row r="9052" spans="1:38" s="11" customFormat="1" x14ac:dyDescent="0.25">
      <c r="A9052" s="3"/>
      <c r="F9052" s="19"/>
      <c r="G9052" s="19"/>
      <c r="N9052" s="19"/>
      <c r="P9052" s="19"/>
      <c r="AL9052" s="19"/>
    </row>
    <row r="9053" spans="1:38" s="11" customFormat="1" x14ac:dyDescent="0.25">
      <c r="A9053" s="3"/>
      <c r="F9053" s="19"/>
      <c r="G9053" s="19"/>
      <c r="N9053" s="19"/>
      <c r="P9053" s="19"/>
      <c r="AL9053" s="19"/>
    </row>
    <row r="9054" spans="1:38" s="11" customFormat="1" x14ac:dyDescent="0.25">
      <c r="A9054" s="3"/>
      <c r="F9054" s="19"/>
      <c r="G9054" s="19"/>
      <c r="N9054" s="19"/>
      <c r="P9054" s="19"/>
      <c r="AL9054" s="19"/>
    </row>
    <row r="9055" spans="1:38" s="11" customFormat="1" x14ac:dyDescent="0.25">
      <c r="A9055" s="3"/>
      <c r="F9055" s="19"/>
      <c r="G9055" s="19"/>
      <c r="N9055" s="19"/>
      <c r="P9055" s="19"/>
      <c r="AL9055" s="19"/>
    </row>
    <row r="9056" spans="1:38" s="11" customFormat="1" x14ac:dyDescent="0.25">
      <c r="A9056" s="3"/>
      <c r="F9056" s="19"/>
      <c r="G9056" s="19"/>
      <c r="N9056" s="19"/>
      <c r="P9056" s="19"/>
      <c r="AL9056" s="19"/>
    </row>
    <row r="9057" spans="1:38" s="11" customFormat="1" x14ac:dyDescent="0.25">
      <c r="A9057" s="3"/>
      <c r="F9057" s="19"/>
      <c r="G9057" s="19"/>
      <c r="N9057" s="19"/>
      <c r="P9057" s="19"/>
      <c r="AL9057" s="19"/>
    </row>
    <row r="9058" spans="1:38" s="11" customFormat="1" x14ac:dyDescent="0.25">
      <c r="A9058" s="3"/>
      <c r="F9058" s="19"/>
      <c r="G9058" s="19"/>
      <c r="N9058" s="19"/>
      <c r="P9058" s="19"/>
      <c r="AL9058" s="19"/>
    </row>
    <row r="9059" spans="1:38" s="11" customFormat="1" x14ac:dyDescent="0.25">
      <c r="A9059" s="3"/>
      <c r="F9059" s="19"/>
      <c r="G9059" s="19"/>
      <c r="N9059" s="19"/>
      <c r="P9059" s="19"/>
      <c r="AL9059" s="19"/>
    </row>
    <row r="9060" spans="1:38" s="11" customFormat="1" x14ac:dyDescent="0.25">
      <c r="A9060" s="3"/>
      <c r="F9060" s="19"/>
      <c r="G9060" s="19"/>
      <c r="N9060" s="19"/>
      <c r="P9060" s="19"/>
      <c r="AL9060" s="19"/>
    </row>
    <row r="9061" spans="1:38" s="11" customFormat="1" x14ac:dyDescent="0.25">
      <c r="A9061" s="3"/>
      <c r="F9061" s="19"/>
      <c r="G9061" s="19"/>
      <c r="N9061" s="19"/>
      <c r="P9061" s="19"/>
      <c r="AL9061" s="19"/>
    </row>
    <row r="9062" spans="1:38" s="11" customFormat="1" x14ac:dyDescent="0.25">
      <c r="A9062" s="3"/>
      <c r="F9062" s="19"/>
      <c r="G9062" s="19"/>
      <c r="N9062" s="19"/>
      <c r="P9062" s="19"/>
      <c r="AL9062" s="19"/>
    </row>
    <row r="9063" spans="1:38" s="11" customFormat="1" x14ac:dyDescent="0.25">
      <c r="A9063" s="3"/>
      <c r="F9063" s="19"/>
      <c r="G9063" s="19"/>
      <c r="N9063" s="19"/>
      <c r="P9063" s="19"/>
      <c r="AL9063" s="19"/>
    </row>
    <row r="9064" spans="1:38" s="11" customFormat="1" x14ac:dyDescent="0.25">
      <c r="A9064" s="3"/>
      <c r="F9064" s="19"/>
      <c r="G9064" s="19"/>
      <c r="N9064" s="19"/>
      <c r="P9064" s="19"/>
      <c r="AL9064" s="19"/>
    </row>
    <row r="9065" spans="1:38" s="11" customFormat="1" x14ac:dyDescent="0.25">
      <c r="A9065" s="3"/>
      <c r="F9065" s="19"/>
      <c r="G9065" s="19"/>
      <c r="N9065" s="19"/>
      <c r="P9065" s="19"/>
      <c r="AL9065" s="19"/>
    </row>
    <row r="9066" spans="1:38" s="11" customFormat="1" x14ac:dyDescent="0.25">
      <c r="A9066" s="3"/>
      <c r="F9066" s="19"/>
      <c r="G9066" s="19"/>
      <c r="N9066" s="19"/>
      <c r="P9066" s="19"/>
      <c r="AL9066" s="19"/>
    </row>
    <row r="9067" spans="1:38" s="11" customFormat="1" x14ac:dyDescent="0.25">
      <c r="A9067" s="3"/>
      <c r="F9067" s="19"/>
      <c r="G9067" s="19"/>
      <c r="N9067" s="19"/>
      <c r="P9067" s="19"/>
      <c r="AL9067" s="19"/>
    </row>
    <row r="9068" spans="1:38" s="11" customFormat="1" x14ac:dyDescent="0.25">
      <c r="A9068" s="3"/>
      <c r="F9068" s="19"/>
      <c r="G9068" s="19"/>
      <c r="N9068" s="19"/>
      <c r="P9068" s="19"/>
      <c r="AL9068" s="19"/>
    </row>
    <row r="9069" spans="1:38" s="11" customFormat="1" x14ac:dyDescent="0.25">
      <c r="A9069" s="3"/>
      <c r="F9069" s="19"/>
      <c r="G9069" s="19"/>
      <c r="N9069" s="19"/>
      <c r="P9069" s="19"/>
      <c r="AL9069" s="19"/>
    </row>
    <row r="9070" spans="1:38" s="11" customFormat="1" x14ac:dyDescent="0.25">
      <c r="A9070" s="3"/>
      <c r="F9070" s="19"/>
      <c r="G9070" s="19"/>
      <c r="N9070" s="19"/>
      <c r="P9070" s="19"/>
      <c r="AL9070" s="19"/>
    </row>
    <row r="9071" spans="1:38" s="11" customFormat="1" x14ac:dyDescent="0.25">
      <c r="A9071" s="3"/>
      <c r="F9071" s="19"/>
      <c r="G9071" s="19"/>
      <c r="N9071" s="19"/>
      <c r="P9071" s="19"/>
      <c r="AL9071" s="19"/>
    </row>
    <row r="9072" spans="1:38" s="11" customFormat="1" x14ac:dyDescent="0.25">
      <c r="A9072" s="3"/>
      <c r="F9072" s="19"/>
      <c r="G9072" s="19"/>
      <c r="N9072" s="19"/>
      <c r="P9072" s="19"/>
      <c r="AL9072" s="19"/>
    </row>
    <row r="9073" spans="1:38" s="11" customFormat="1" x14ac:dyDescent="0.25">
      <c r="A9073" s="3"/>
      <c r="F9073" s="19"/>
      <c r="G9073" s="19"/>
      <c r="N9073" s="19"/>
      <c r="P9073" s="19"/>
      <c r="AL9073" s="19"/>
    </row>
    <row r="9074" spans="1:38" s="11" customFormat="1" x14ac:dyDescent="0.25">
      <c r="A9074" s="3"/>
      <c r="F9074" s="19"/>
      <c r="G9074" s="19"/>
      <c r="N9074" s="19"/>
      <c r="P9074" s="19"/>
      <c r="AL9074" s="19"/>
    </row>
    <row r="9075" spans="1:38" s="11" customFormat="1" x14ac:dyDescent="0.25">
      <c r="A9075" s="3"/>
      <c r="F9075" s="19"/>
      <c r="G9075" s="19"/>
      <c r="N9075" s="19"/>
      <c r="P9075" s="19"/>
      <c r="AL9075" s="19"/>
    </row>
    <row r="9076" spans="1:38" s="11" customFormat="1" x14ac:dyDescent="0.25">
      <c r="A9076" s="3"/>
      <c r="F9076" s="19"/>
      <c r="G9076" s="19"/>
      <c r="N9076" s="19"/>
      <c r="P9076" s="19"/>
      <c r="AL9076" s="19"/>
    </row>
    <row r="9077" spans="1:38" s="11" customFormat="1" x14ac:dyDescent="0.25">
      <c r="A9077" s="3"/>
      <c r="F9077" s="19"/>
      <c r="G9077" s="19"/>
      <c r="N9077" s="19"/>
      <c r="P9077" s="19"/>
      <c r="AL9077" s="19"/>
    </row>
    <row r="9078" spans="1:38" s="11" customFormat="1" x14ac:dyDescent="0.25">
      <c r="A9078" s="3"/>
      <c r="F9078" s="19"/>
      <c r="G9078" s="19"/>
      <c r="N9078" s="19"/>
      <c r="P9078" s="19"/>
      <c r="AL9078" s="19"/>
    </row>
    <row r="9079" spans="1:38" s="11" customFormat="1" x14ac:dyDescent="0.25">
      <c r="A9079" s="3"/>
      <c r="F9079" s="19"/>
      <c r="G9079" s="19"/>
      <c r="N9079" s="19"/>
      <c r="P9079" s="19"/>
      <c r="AL9079" s="19"/>
    </row>
    <row r="9080" spans="1:38" s="11" customFormat="1" x14ac:dyDescent="0.25">
      <c r="A9080" s="3"/>
      <c r="F9080" s="19"/>
      <c r="G9080" s="19"/>
      <c r="N9080" s="19"/>
      <c r="P9080" s="19"/>
      <c r="AL9080" s="19"/>
    </row>
    <row r="9081" spans="1:38" s="11" customFormat="1" x14ac:dyDescent="0.25">
      <c r="A9081" s="3"/>
      <c r="F9081" s="19"/>
      <c r="G9081" s="19"/>
      <c r="N9081" s="19"/>
      <c r="P9081" s="19"/>
      <c r="AL9081" s="19"/>
    </row>
    <row r="9082" spans="1:38" s="11" customFormat="1" x14ac:dyDescent="0.25">
      <c r="A9082" s="3"/>
      <c r="F9082" s="19"/>
      <c r="G9082" s="19"/>
      <c r="N9082" s="19"/>
      <c r="P9082" s="19"/>
      <c r="AL9082" s="19"/>
    </row>
    <row r="9083" spans="1:38" s="11" customFormat="1" x14ac:dyDescent="0.25">
      <c r="A9083" s="3"/>
      <c r="F9083" s="19"/>
      <c r="G9083" s="19"/>
      <c r="N9083" s="19"/>
      <c r="P9083" s="19"/>
      <c r="AL9083" s="19"/>
    </row>
    <row r="9084" spans="1:38" s="11" customFormat="1" x14ac:dyDescent="0.25">
      <c r="A9084" s="3"/>
      <c r="F9084" s="19"/>
      <c r="G9084" s="19"/>
      <c r="N9084" s="19"/>
      <c r="P9084" s="19"/>
      <c r="AL9084" s="19"/>
    </row>
    <row r="9085" spans="1:38" s="11" customFormat="1" x14ac:dyDescent="0.25">
      <c r="A9085" s="3"/>
      <c r="F9085" s="19"/>
      <c r="G9085" s="19"/>
      <c r="N9085" s="19"/>
      <c r="P9085" s="19"/>
      <c r="AL9085" s="19"/>
    </row>
    <row r="9086" spans="1:38" s="11" customFormat="1" x14ac:dyDescent="0.25">
      <c r="A9086" s="3"/>
      <c r="F9086" s="19"/>
      <c r="G9086" s="19"/>
      <c r="N9086" s="19"/>
      <c r="P9086" s="19"/>
      <c r="AL9086" s="19"/>
    </row>
    <row r="9087" spans="1:38" s="11" customFormat="1" x14ac:dyDescent="0.25">
      <c r="A9087" s="3"/>
      <c r="F9087" s="19"/>
      <c r="G9087" s="19"/>
      <c r="N9087" s="19"/>
      <c r="P9087" s="19"/>
      <c r="AL9087" s="19"/>
    </row>
    <row r="9088" spans="1:38" s="11" customFormat="1" x14ac:dyDescent="0.25">
      <c r="A9088" s="3"/>
      <c r="F9088" s="19"/>
      <c r="G9088" s="19"/>
      <c r="N9088" s="19"/>
      <c r="P9088" s="19"/>
      <c r="AL9088" s="19"/>
    </row>
    <row r="9089" spans="1:38" s="11" customFormat="1" x14ac:dyDescent="0.25">
      <c r="A9089" s="3"/>
      <c r="F9089" s="19"/>
      <c r="G9089" s="19"/>
      <c r="N9089" s="19"/>
      <c r="P9089" s="19"/>
      <c r="AL9089" s="19"/>
    </row>
    <row r="9090" spans="1:38" s="11" customFormat="1" x14ac:dyDescent="0.25">
      <c r="A9090" s="3"/>
      <c r="F9090" s="19"/>
      <c r="G9090" s="19"/>
      <c r="N9090" s="19"/>
      <c r="P9090" s="19"/>
      <c r="AL9090" s="19"/>
    </row>
    <row r="9091" spans="1:38" s="11" customFormat="1" x14ac:dyDescent="0.25">
      <c r="A9091" s="3"/>
      <c r="F9091" s="19"/>
      <c r="G9091" s="19"/>
      <c r="N9091" s="19"/>
      <c r="P9091" s="19"/>
      <c r="AL9091" s="19"/>
    </row>
    <row r="9092" spans="1:38" s="11" customFormat="1" x14ac:dyDescent="0.25">
      <c r="A9092" s="3"/>
      <c r="F9092" s="19"/>
      <c r="G9092" s="19"/>
      <c r="N9092" s="19"/>
      <c r="P9092" s="19"/>
      <c r="AL9092" s="19"/>
    </row>
    <row r="9093" spans="1:38" s="11" customFormat="1" x14ac:dyDescent="0.25">
      <c r="A9093" s="3"/>
      <c r="F9093" s="19"/>
      <c r="G9093" s="19"/>
      <c r="N9093" s="19"/>
      <c r="P9093" s="19"/>
      <c r="AL9093" s="19"/>
    </row>
    <row r="9094" spans="1:38" s="11" customFormat="1" x14ac:dyDescent="0.25">
      <c r="A9094" s="3"/>
      <c r="F9094" s="19"/>
      <c r="G9094" s="19"/>
      <c r="N9094" s="19"/>
      <c r="P9094" s="19"/>
      <c r="AL9094" s="19"/>
    </row>
    <row r="9095" spans="1:38" s="11" customFormat="1" x14ac:dyDescent="0.25">
      <c r="A9095" s="3"/>
      <c r="F9095" s="19"/>
      <c r="G9095" s="19"/>
      <c r="N9095" s="19"/>
      <c r="P9095" s="19"/>
      <c r="AL9095" s="19"/>
    </row>
    <row r="9096" spans="1:38" s="11" customFormat="1" x14ac:dyDescent="0.25">
      <c r="A9096" s="3"/>
      <c r="F9096" s="19"/>
      <c r="G9096" s="19"/>
      <c r="N9096" s="19"/>
      <c r="P9096" s="19"/>
      <c r="AL9096" s="19"/>
    </row>
    <row r="9097" spans="1:38" s="11" customFormat="1" x14ac:dyDescent="0.25">
      <c r="A9097" s="3"/>
      <c r="F9097" s="19"/>
      <c r="G9097" s="19"/>
      <c r="N9097" s="19"/>
      <c r="P9097" s="19"/>
      <c r="AL9097" s="19"/>
    </row>
    <row r="9098" spans="1:38" s="11" customFormat="1" x14ac:dyDescent="0.25">
      <c r="A9098" s="3"/>
      <c r="F9098" s="19"/>
      <c r="G9098" s="19"/>
      <c r="N9098" s="19"/>
      <c r="P9098" s="19"/>
      <c r="AL9098" s="19"/>
    </row>
    <row r="9099" spans="1:38" s="11" customFormat="1" x14ac:dyDescent="0.25">
      <c r="A9099" s="3"/>
      <c r="F9099" s="19"/>
      <c r="G9099" s="19"/>
      <c r="N9099" s="19"/>
      <c r="P9099" s="19"/>
      <c r="AL9099" s="19"/>
    </row>
    <row r="9100" spans="1:38" s="11" customFormat="1" x14ac:dyDescent="0.25">
      <c r="A9100" s="3"/>
      <c r="F9100" s="19"/>
      <c r="G9100" s="19"/>
      <c r="N9100" s="19"/>
      <c r="P9100" s="19"/>
      <c r="AL9100" s="19"/>
    </row>
    <row r="9101" spans="1:38" s="11" customFormat="1" x14ac:dyDescent="0.25">
      <c r="A9101" s="3"/>
      <c r="F9101" s="19"/>
      <c r="G9101" s="19"/>
      <c r="N9101" s="19"/>
      <c r="P9101" s="19"/>
      <c r="AL9101" s="19"/>
    </row>
    <row r="9102" spans="1:38" s="11" customFormat="1" x14ac:dyDescent="0.25">
      <c r="A9102" s="3"/>
      <c r="F9102" s="19"/>
      <c r="G9102" s="19"/>
      <c r="N9102" s="19"/>
      <c r="P9102" s="19"/>
      <c r="AL9102" s="19"/>
    </row>
    <row r="9103" spans="1:38" s="11" customFormat="1" x14ac:dyDescent="0.25">
      <c r="A9103" s="3"/>
      <c r="F9103" s="19"/>
      <c r="G9103" s="19"/>
      <c r="N9103" s="19"/>
      <c r="P9103" s="19"/>
      <c r="AL9103" s="19"/>
    </row>
    <row r="9104" spans="1:38" s="11" customFormat="1" x14ac:dyDescent="0.25">
      <c r="A9104" s="3"/>
      <c r="F9104" s="19"/>
      <c r="G9104" s="19"/>
      <c r="N9104" s="19"/>
      <c r="P9104" s="19"/>
      <c r="AL9104" s="19"/>
    </row>
    <row r="9105" spans="1:38" s="11" customFormat="1" x14ac:dyDescent="0.25">
      <c r="A9105" s="3"/>
      <c r="F9105" s="19"/>
      <c r="G9105" s="19"/>
      <c r="N9105" s="19"/>
      <c r="P9105" s="19"/>
      <c r="AL9105" s="19"/>
    </row>
    <row r="9106" spans="1:38" s="11" customFormat="1" x14ac:dyDescent="0.25">
      <c r="A9106" s="3"/>
      <c r="F9106" s="19"/>
      <c r="G9106" s="19"/>
      <c r="N9106" s="19"/>
      <c r="P9106" s="19"/>
      <c r="AL9106" s="19"/>
    </row>
    <row r="9107" spans="1:38" s="11" customFormat="1" x14ac:dyDescent="0.25">
      <c r="A9107" s="3"/>
      <c r="F9107" s="19"/>
      <c r="G9107" s="19"/>
      <c r="N9107" s="19"/>
      <c r="P9107" s="19"/>
      <c r="AL9107" s="19"/>
    </row>
    <row r="9108" spans="1:38" s="11" customFormat="1" x14ac:dyDescent="0.25">
      <c r="A9108" s="3"/>
      <c r="F9108" s="19"/>
      <c r="G9108" s="19"/>
      <c r="N9108" s="19"/>
      <c r="P9108" s="19"/>
      <c r="AL9108" s="19"/>
    </row>
    <row r="9109" spans="1:38" s="11" customFormat="1" x14ac:dyDescent="0.25">
      <c r="A9109" s="3"/>
      <c r="F9109" s="19"/>
      <c r="G9109" s="19"/>
      <c r="N9109" s="19"/>
      <c r="P9109" s="19"/>
      <c r="AL9109" s="19"/>
    </row>
    <row r="9110" spans="1:38" s="11" customFormat="1" x14ac:dyDescent="0.25">
      <c r="A9110" s="3"/>
      <c r="F9110" s="19"/>
      <c r="G9110" s="19"/>
      <c r="N9110" s="19"/>
      <c r="P9110" s="19"/>
      <c r="AL9110" s="19"/>
    </row>
    <row r="9111" spans="1:38" s="11" customFormat="1" x14ac:dyDescent="0.25">
      <c r="A9111" s="3"/>
      <c r="F9111" s="19"/>
      <c r="G9111" s="19"/>
      <c r="N9111" s="19"/>
      <c r="P9111" s="19"/>
      <c r="AL9111" s="19"/>
    </row>
    <row r="9112" spans="1:38" s="11" customFormat="1" x14ac:dyDescent="0.25">
      <c r="A9112" s="3"/>
      <c r="F9112" s="19"/>
      <c r="G9112" s="19"/>
      <c r="N9112" s="19"/>
      <c r="P9112" s="19"/>
      <c r="AL9112" s="19"/>
    </row>
    <row r="9113" spans="1:38" s="11" customFormat="1" x14ac:dyDescent="0.25">
      <c r="A9113" s="3"/>
      <c r="F9113" s="19"/>
      <c r="G9113" s="19"/>
      <c r="N9113" s="19"/>
      <c r="P9113" s="19"/>
      <c r="AL9113" s="19"/>
    </row>
    <row r="9114" spans="1:38" s="11" customFormat="1" x14ac:dyDescent="0.25">
      <c r="A9114" s="3"/>
      <c r="F9114" s="19"/>
      <c r="G9114" s="19"/>
      <c r="N9114" s="19"/>
      <c r="P9114" s="19"/>
      <c r="AL9114" s="19"/>
    </row>
    <row r="9115" spans="1:38" s="11" customFormat="1" x14ac:dyDescent="0.25">
      <c r="A9115" s="3"/>
      <c r="F9115" s="19"/>
      <c r="G9115" s="19"/>
      <c r="N9115" s="19"/>
      <c r="P9115" s="19"/>
      <c r="AL9115" s="19"/>
    </row>
    <row r="9116" spans="1:38" s="11" customFormat="1" x14ac:dyDescent="0.25">
      <c r="A9116" s="3"/>
      <c r="F9116" s="19"/>
      <c r="G9116" s="19"/>
      <c r="N9116" s="19"/>
      <c r="P9116" s="19"/>
      <c r="AL9116" s="19"/>
    </row>
    <row r="9117" spans="1:38" s="11" customFormat="1" x14ac:dyDescent="0.25">
      <c r="A9117" s="3"/>
      <c r="F9117" s="19"/>
      <c r="G9117" s="19"/>
      <c r="N9117" s="19"/>
      <c r="P9117" s="19"/>
      <c r="AL9117" s="19"/>
    </row>
    <row r="9118" spans="1:38" s="11" customFormat="1" x14ac:dyDescent="0.25">
      <c r="A9118" s="3"/>
      <c r="F9118" s="19"/>
      <c r="G9118" s="19"/>
      <c r="N9118" s="19"/>
      <c r="P9118" s="19"/>
      <c r="AL9118" s="19"/>
    </row>
    <row r="9119" spans="1:38" s="11" customFormat="1" x14ac:dyDescent="0.25">
      <c r="A9119" s="3"/>
      <c r="F9119" s="19"/>
      <c r="G9119" s="19"/>
      <c r="N9119" s="19"/>
      <c r="P9119" s="19"/>
      <c r="AL9119" s="19"/>
    </row>
    <row r="9120" spans="1:38" s="11" customFormat="1" x14ac:dyDescent="0.25">
      <c r="A9120" s="3"/>
      <c r="F9120" s="19"/>
      <c r="G9120" s="19"/>
      <c r="N9120" s="19"/>
      <c r="P9120" s="19"/>
      <c r="AL9120" s="19"/>
    </row>
    <row r="9121" spans="1:38" s="11" customFormat="1" x14ac:dyDescent="0.25">
      <c r="A9121" s="3"/>
      <c r="F9121" s="19"/>
      <c r="G9121" s="19"/>
      <c r="N9121" s="19"/>
      <c r="P9121" s="19"/>
      <c r="AL9121" s="19"/>
    </row>
    <row r="9122" spans="1:38" s="11" customFormat="1" x14ac:dyDescent="0.25">
      <c r="A9122" s="3"/>
      <c r="F9122" s="19"/>
      <c r="G9122" s="19"/>
      <c r="N9122" s="19"/>
      <c r="P9122" s="19"/>
      <c r="AL9122" s="19"/>
    </row>
    <row r="9123" spans="1:38" s="11" customFormat="1" x14ac:dyDescent="0.25">
      <c r="A9123" s="3"/>
      <c r="F9123" s="19"/>
      <c r="G9123" s="19"/>
      <c r="N9123" s="19"/>
      <c r="P9123" s="19"/>
      <c r="AL9123" s="19"/>
    </row>
    <row r="9124" spans="1:38" s="11" customFormat="1" x14ac:dyDescent="0.25">
      <c r="A9124" s="3"/>
      <c r="F9124" s="19"/>
      <c r="G9124" s="19"/>
      <c r="N9124" s="19"/>
      <c r="P9124" s="19"/>
      <c r="AL9124" s="19"/>
    </row>
    <row r="9125" spans="1:38" s="11" customFormat="1" x14ac:dyDescent="0.25">
      <c r="A9125" s="3"/>
      <c r="F9125" s="19"/>
      <c r="G9125" s="19"/>
      <c r="N9125" s="19"/>
      <c r="P9125" s="19"/>
      <c r="AL9125" s="19"/>
    </row>
    <row r="9126" spans="1:38" s="11" customFormat="1" x14ac:dyDescent="0.25">
      <c r="A9126" s="3"/>
      <c r="F9126" s="19"/>
      <c r="G9126" s="19"/>
      <c r="N9126" s="19"/>
      <c r="P9126" s="19"/>
      <c r="AL9126" s="19"/>
    </row>
    <row r="9127" spans="1:38" s="11" customFormat="1" x14ac:dyDescent="0.25">
      <c r="A9127" s="3"/>
      <c r="F9127" s="19"/>
      <c r="G9127" s="19"/>
      <c r="N9127" s="19"/>
      <c r="P9127" s="19"/>
      <c r="AL9127" s="19"/>
    </row>
    <row r="9128" spans="1:38" s="11" customFormat="1" x14ac:dyDescent="0.25">
      <c r="A9128" s="3"/>
      <c r="F9128" s="19"/>
      <c r="G9128" s="19"/>
      <c r="N9128" s="19"/>
      <c r="P9128" s="19"/>
      <c r="AL9128" s="19"/>
    </row>
    <row r="9129" spans="1:38" s="11" customFormat="1" x14ac:dyDescent="0.25">
      <c r="A9129" s="3"/>
      <c r="F9129" s="19"/>
      <c r="G9129" s="19"/>
      <c r="N9129" s="19"/>
      <c r="P9129" s="19"/>
      <c r="AL9129" s="19"/>
    </row>
    <row r="9130" spans="1:38" s="11" customFormat="1" x14ac:dyDescent="0.25">
      <c r="A9130" s="3"/>
      <c r="F9130" s="19"/>
      <c r="G9130" s="19"/>
      <c r="N9130" s="19"/>
      <c r="P9130" s="19"/>
      <c r="AL9130" s="19"/>
    </row>
    <row r="9131" spans="1:38" s="11" customFormat="1" x14ac:dyDescent="0.25">
      <c r="A9131" s="3"/>
      <c r="F9131" s="19"/>
      <c r="G9131" s="19"/>
      <c r="N9131" s="19"/>
      <c r="P9131" s="19"/>
      <c r="AL9131" s="19"/>
    </row>
    <row r="9132" spans="1:38" s="11" customFormat="1" x14ac:dyDescent="0.25">
      <c r="A9132" s="3"/>
      <c r="F9132" s="19"/>
      <c r="G9132" s="19"/>
      <c r="N9132" s="19"/>
      <c r="P9132" s="19"/>
      <c r="AL9132" s="19"/>
    </row>
    <row r="9133" spans="1:38" s="11" customFormat="1" x14ac:dyDescent="0.25">
      <c r="A9133" s="3"/>
      <c r="F9133" s="19"/>
      <c r="G9133" s="19"/>
      <c r="N9133" s="19"/>
      <c r="P9133" s="19"/>
      <c r="AL9133" s="19"/>
    </row>
    <row r="9134" spans="1:38" s="11" customFormat="1" x14ac:dyDescent="0.25">
      <c r="A9134" s="3"/>
      <c r="F9134" s="19"/>
      <c r="G9134" s="19"/>
      <c r="N9134" s="19"/>
      <c r="P9134" s="19"/>
      <c r="AL9134" s="19"/>
    </row>
    <row r="9135" spans="1:38" s="11" customFormat="1" x14ac:dyDescent="0.25">
      <c r="A9135" s="3"/>
      <c r="F9135" s="19"/>
      <c r="G9135" s="19"/>
      <c r="N9135" s="19"/>
      <c r="P9135" s="19"/>
      <c r="AL9135" s="19"/>
    </row>
    <row r="9136" spans="1:38" s="11" customFormat="1" x14ac:dyDescent="0.25">
      <c r="A9136" s="3"/>
      <c r="F9136" s="19"/>
      <c r="G9136" s="19"/>
      <c r="N9136" s="19"/>
      <c r="P9136" s="19"/>
      <c r="AL9136" s="19"/>
    </row>
    <row r="9137" spans="1:38" s="11" customFormat="1" x14ac:dyDescent="0.25">
      <c r="A9137" s="3"/>
      <c r="F9137" s="19"/>
      <c r="G9137" s="19"/>
      <c r="N9137" s="19"/>
      <c r="P9137" s="19"/>
      <c r="AL9137" s="19"/>
    </row>
    <row r="9138" spans="1:38" s="11" customFormat="1" x14ac:dyDescent="0.25">
      <c r="A9138" s="3"/>
      <c r="F9138" s="19"/>
      <c r="G9138" s="19"/>
      <c r="N9138" s="19"/>
      <c r="P9138" s="19"/>
      <c r="AL9138" s="19"/>
    </row>
    <row r="9139" spans="1:38" s="11" customFormat="1" x14ac:dyDescent="0.25">
      <c r="A9139" s="3"/>
      <c r="F9139" s="19"/>
      <c r="G9139" s="19"/>
      <c r="N9139" s="19"/>
      <c r="P9139" s="19"/>
      <c r="AL9139" s="19"/>
    </row>
    <row r="9140" spans="1:38" s="11" customFormat="1" x14ac:dyDescent="0.25">
      <c r="A9140" s="3"/>
      <c r="F9140" s="19"/>
      <c r="G9140" s="19"/>
      <c r="N9140" s="19"/>
      <c r="P9140" s="19"/>
      <c r="AL9140" s="19"/>
    </row>
    <row r="9141" spans="1:38" s="11" customFormat="1" x14ac:dyDescent="0.25">
      <c r="A9141" s="3"/>
      <c r="F9141" s="19"/>
      <c r="G9141" s="19"/>
      <c r="N9141" s="19"/>
      <c r="P9141" s="19"/>
      <c r="AL9141" s="19"/>
    </row>
    <row r="9142" spans="1:38" s="11" customFormat="1" x14ac:dyDescent="0.25">
      <c r="A9142" s="3"/>
      <c r="F9142" s="19"/>
      <c r="G9142" s="19"/>
      <c r="N9142" s="19"/>
      <c r="P9142" s="19"/>
      <c r="AL9142" s="19"/>
    </row>
    <row r="9143" spans="1:38" s="11" customFormat="1" x14ac:dyDescent="0.25">
      <c r="A9143" s="3"/>
      <c r="F9143" s="19"/>
      <c r="G9143" s="19"/>
      <c r="N9143" s="19"/>
      <c r="P9143" s="19"/>
      <c r="AL9143" s="19"/>
    </row>
    <row r="9144" spans="1:38" s="11" customFormat="1" x14ac:dyDescent="0.25">
      <c r="A9144" s="3"/>
      <c r="F9144" s="19"/>
      <c r="G9144" s="19"/>
      <c r="N9144" s="19"/>
      <c r="P9144" s="19"/>
      <c r="AL9144" s="19"/>
    </row>
    <row r="9145" spans="1:38" s="11" customFormat="1" x14ac:dyDescent="0.25">
      <c r="A9145" s="3"/>
      <c r="F9145" s="19"/>
      <c r="G9145" s="19"/>
      <c r="N9145" s="19"/>
      <c r="P9145" s="19"/>
      <c r="AL9145" s="19"/>
    </row>
    <row r="9146" spans="1:38" s="11" customFormat="1" x14ac:dyDescent="0.25">
      <c r="A9146" s="3"/>
      <c r="F9146" s="19"/>
      <c r="G9146" s="19"/>
      <c r="N9146" s="19"/>
      <c r="P9146" s="19"/>
      <c r="AL9146" s="19"/>
    </row>
    <row r="9147" spans="1:38" s="11" customFormat="1" x14ac:dyDescent="0.25">
      <c r="A9147" s="3"/>
      <c r="F9147" s="19"/>
      <c r="G9147" s="19"/>
      <c r="N9147" s="19"/>
      <c r="P9147" s="19"/>
      <c r="AL9147" s="19"/>
    </row>
    <row r="9148" spans="1:38" s="11" customFormat="1" x14ac:dyDescent="0.25">
      <c r="A9148" s="3"/>
      <c r="F9148" s="19"/>
      <c r="G9148" s="19"/>
      <c r="N9148" s="19"/>
      <c r="P9148" s="19"/>
      <c r="AL9148" s="19"/>
    </row>
    <row r="9149" spans="1:38" s="11" customFormat="1" x14ac:dyDescent="0.25">
      <c r="A9149" s="3"/>
      <c r="F9149" s="19"/>
      <c r="G9149" s="19"/>
      <c r="N9149" s="19"/>
      <c r="P9149" s="19"/>
      <c r="AL9149" s="19"/>
    </row>
    <row r="9150" spans="1:38" s="11" customFormat="1" x14ac:dyDescent="0.25">
      <c r="A9150" s="3"/>
      <c r="F9150" s="19"/>
      <c r="G9150" s="19"/>
      <c r="N9150" s="19"/>
      <c r="P9150" s="19"/>
      <c r="AL9150" s="19"/>
    </row>
    <row r="9151" spans="1:38" s="11" customFormat="1" x14ac:dyDescent="0.25">
      <c r="A9151" s="3"/>
      <c r="F9151" s="19"/>
      <c r="G9151" s="19"/>
      <c r="N9151" s="19"/>
      <c r="P9151" s="19"/>
      <c r="AL9151" s="19"/>
    </row>
    <row r="9152" spans="1:38" s="11" customFormat="1" x14ac:dyDescent="0.25">
      <c r="A9152" s="3"/>
      <c r="F9152" s="19"/>
      <c r="G9152" s="19"/>
      <c r="N9152" s="19"/>
      <c r="P9152" s="19"/>
      <c r="AL9152" s="19"/>
    </row>
    <row r="9153" spans="1:38" s="11" customFormat="1" x14ac:dyDescent="0.25">
      <c r="A9153" s="3"/>
      <c r="F9153" s="19"/>
      <c r="G9153" s="19"/>
      <c r="N9153" s="19"/>
      <c r="P9153" s="19"/>
      <c r="AL9153" s="19"/>
    </row>
    <row r="9154" spans="1:38" s="11" customFormat="1" x14ac:dyDescent="0.25">
      <c r="A9154" s="3"/>
      <c r="F9154" s="19"/>
      <c r="G9154" s="19"/>
      <c r="N9154" s="19"/>
      <c r="P9154" s="19"/>
      <c r="AL9154" s="19"/>
    </row>
    <row r="9155" spans="1:38" s="11" customFormat="1" x14ac:dyDescent="0.25">
      <c r="A9155" s="3"/>
      <c r="F9155" s="19"/>
      <c r="G9155" s="19"/>
      <c r="N9155" s="19"/>
      <c r="P9155" s="19"/>
      <c r="AL9155" s="19"/>
    </row>
    <row r="9156" spans="1:38" s="11" customFormat="1" x14ac:dyDescent="0.25">
      <c r="A9156" s="3"/>
      <c r="F9156" s="19"/>
      <c r="G9156" s="19"/>
      <c r="N9156" s="19"/>
      <c r="P9156" s="19"/>
      <c r="AL9156" s="19"/>
    </row>
    <row r="9157" spans="1:38" s="11" customFormat="1" x14ac:dyDescent="0.25">
      <c r="A9157" s="3"/>
      <c r="F9157" s="19"/>
      <c r="G9157" s="19"/>
      <c r="N9157" s="19"/>
      <c r="P9157" s="19"/>
      <c r="AL9157" s="19"/>
    </row>
    <row r="9158" spans="1:38" s="11" customFormat="1" x14ac:dyDescent="0.25">
      <c r="A9158" s="3"/>
      <c r="F9158" s="19"/>
      <c r="G9158" s="19"/>
      <c r="N9158" s="19"/>
      <c r="P9158" s="19"/>
      <c r="AL9158" s="19"/>
    </row>
    <row r="9159" spans="1:38" s="11" customFormat="1" x14ac:dyDescent="0.25">
      <c r="A9159" s="3"/>
      <c r="F9159" s="19"/>
      <c r="G9159" s="19"/>
      <c r="N9159" s="19"/>
      <c r="P9159" s="19"/>
      <c r="AL9159" s="19"/>
    </row>
    <row r="9160" spans="1:38" s="11" customFormat="1" x14ac:dyDescent="0.25">
      <c r="A9160" s="3"/>
      <c r="F9160" s="19"/>
      <c r="G9160" s="19"/>
      <c r="N9160" s="19"/>
      <c r="P9160" s="19"/>
      <c r="AL9160" s="19"/>
    </row>
    <row r="9161" spans="1:38" s="11" customFormat="1" x14ac:dyDescent="0.25">
      <c r="A9161" s="3"/>
      <c r="F9161" s="19"/>
      <c r="G9161" s="19"/>
      <c r="N9161" s="19"/>
      <c r="P9161" s="19"/>
      <c r="AL9161" s="19"/>
    </row>
    <row r="9162" spans="1:38" s="11" customFormat="1" x14ac:dyDescent="0.25">
      <c r="A9162" s="3"/>
      <c r="F9162" s="19"/>
      <c r="G9162" s="19"/>
      <c r="N9162" s="19"/>
      <c r="P9162" s="19"/>
      <c r="AL9162" s="19"/>
    </row>
    <row r="9163" spans="1:38" s="11" customFormat="1" x14ac:dyDescent="0.25">
      <c r="A9163" s="3"/>
      <c r="F9163" s="19"/>
      <c r="G9163" s="19"/>
      <c r="N9163" s="19"/>
      <c r="P9163" s="19"/>
      <c r="AL9163" s="19"/>
    </row>
    <row r="9164" spans="1:38" s="11" customFormat="1" x14ac:dyDescent="0.25">
      <c r="A9164" s="3"/>
      <c r="F9164" s="19"/>
      <c r="G9164" s="19"/>
      <c r="N9164" s="19"/>
      <c r="P9164" s="19"/>
      <c r="AL9164" s="19"/>
    </row>
    <row r="9165" spans="1:38" s="11" customFormat="1" x14ac:dyDescent="0.25">
      <c r="A9165" s="3"/>
      <c r="F9165" s="19"/>
      <c r="G9165" s="19"/>
      <c r="N9165" s="19"/>
      <c r="P9165" s="19"/>
      <c r="AL9165" s="19"/>
    </row>
    <row r="9166" spans="1:38" s="11" customFormat="1" x14ac:dyDescent="0.25">
      <c r="A9166" s="3"/>
      <c r="F9166" s="19"/>
      <c r="G9166" s="19"/>
      <c r="N9166" s="19"/>
      <c r="P9166" s="19"/>
      <c r="AL9166" s="19"/>
    </row>
    <row r="9167" spans="1:38" s="11" customFormat="1" x14ac:dyDescent="0.25">
      <c r="A9167" s="3"/>
      <c r="F9167" s="19"/>
      <c r="G9167" s="19"/>
      <c r="N9167" s="19"/>
      <c r="P9167" s="19"/>
      <c r="AL9167" s="19"/>
    </row>
    <row r="9168" spans="1:38" s="11" customFormat="1" x14ac:dyDescent="0.25">
      <c r="A9168" s="3"/>
      <c r="F9168" s="19"/>
      <c r="G9168" s="19"/>
      <c r="N9168" s="19"/>
      <c r="P9168" s="19"/>
      <c r="AL9168" s="19"/>
    </row>
    <row r="9169" spans="1:38" s="11" customFormat="1" x14ac:dyDescent="0.25">
      <c r="A9169" s="3"/>
      <c r="F9169" s="19"/>
      <c r="G9169" s="19"/>
      <c r="N9169" s="19"/>
      <c r="P9169" s="19"/>
      <c r="AL9169" s="19"/>
    </row>
    <row r="9170" spans="1:38" s="11" customFormat="1" x14ac:dyDescent="0.25">
      <c r="A9170" s="3"/>
      <c r="F9170" s="19"/>
      <c r="G9170" s="19"/>
      <c r="N9170" s="19"/>
      <c r="P9170" s="19"/>
      <c r="AL9170" s="19"/>
    </row>
    <row r="9171" spans="1:38" s="11" customFormat="1" x14ac:dyDescent="0.25">
      <c r="A9171" s="3"/>
      <c r="F9171" s="19"/>
      <c r="G9171" s="19"/>
      <c r="N9171" s="19"/>
      <c r="P9171" s="19"/>
      <c r="AL9171" s="19"/>
    </row>
    <row r="9172" spans="1:38" s="11" customFormat="1" x14ac:dyDescent="0.25">
      <c r="A9172" s="3"/>
      <c r="F9172" s="19"/>
      <c r="G9172" s="19"/>
      <c r="N9172" s="19"/>
      <c r="P9172" s="19"/>
      <c r="AL9172" s="19"/>
    </row>
    <row r="9173" spans="1:38" s="11" customFormat="1" x14ac:dyDescent="0.25">
      <c r="A9173" s="3"/>
      <c r="F9173" s="19"/>
      <c r="G9173" s="19"/>
      <c r="N9173" s="19"/>
      <c r="P9173" s="19"/>
      <c r="AL9173" s="19"/>
    </row>
    <row r="9174" spans="1:38" s="11" customFormat="1" x14ac:dyDescent="0.25">
      <c r="A9174" s="3"/>
      <c r="F9174" s="19"/>
      <c r="G9174" s="19"/>
      <c r="N9174" s="19"/>
      <c r="P9174" s="19"/>
      <c r="AL9174" s="19"/>
    </row>
    <row r="9175" spans="1:38" s="11" customFormat="1" x14ac:dyDescent="0.25">
      <c r="A9175" s="3"/>
      <c r="F9175" s="19"/>
      <c r="G9175" s="19"/>
      <c r="N9175" s="19"/>
      <c r="P9175" s="19"/>
      <c r="AL9175" s="19"/>
    </row>
    <row r="9176" spans="1:38" s="11" customFormat="1" x14ac:dyDescent="0.25">
      <c r="A9176" s="3"/>
      <c r="F9176" s="19"/>
      <c r="G9176" s="19"/>
      <c r="N9176" s="19"/>
      <c r="P9176" s="19"/>
      <c r="AL9176" s="19"/>
    </row>
    <row r="9177" spans="1:38" s="11" customFormat="1" x14ac:dyDescent="0.25">
      <c r="A9177" s="3"/>
      <c r="F9177" s="19"/>
      <c r="G9177" s="19"/>
      <c r="N9177" s="19"/>
      <c r="P9177" s="19"/>
      <c r="AL9177" s="19"/>
    </row>
    <row r="9178" spans="1:38" s="11" customFormat="1" x14ac:dyDescent="0.25">
      <c r="A9178" s="3"/>
      <c r="F9178" s="19"/>
      <c r="G9178" s="19"/>
      <c r="N9178" s="19"/>
      <c r="P9178" s="19"/>
      <c r="AL9178" s="19"/>
    </row>
    <row r="9179" spans="1:38" s="11" customFormat="1" x14ac:dyDescent="0.25">
      <c r="A9179" s="3"/>
      <c r="F9179" s="19"/>
      <c r="G9179" s="19"/>
      <c r="N9179" s="19"/>
      <c r="P9179" s="19"/>
      <c r="AL9179" s="19"/>
    </row>
    <row r="9180" spans="1:38" s="11" customFormat="1" x14ac:dyDescent="0.25">
      <c r="A9180" s="3"/>
      <c r="F9180" s="19"/>
      <c r="G9180" s="19"/>
      <c r="N9180" s="19"/>
      <c r="P9180" s="19"/>
      <c r="AL9180" s="19"/>
    </row>
    <row r="9181" spans="1:38" s="11" customFormat="1" x14ac:dyDescent="0.25">
      <c r="A9181" s="3"/>
      <c r="F9181" s="19"/>
      <c r="G9181" s="19"/>
      <c r="N9181" s="19"/>
      <c r="P9181" s="19"/>
      <c r="AL9181" s="19"/>
    </row>
    <row r="9182" spans="1:38" s="11" customFormat="1" x14ac:dyDescent="0.25">
      <c r="A9182" s="3"/>
      <c r="F9182" s="19"/>
      <c r="G9182" s="19"/>
      <c r="N9182" s="19"/>
      <c r="P9182" s="19"/>
      <c r="AL9182" s="19"/>
    </row>
    <row r="9183" spans="1:38" s="11" customFormat="1" x14ac:dyDescent="0.25">
      <c r="A9183" s="3"/>
      <c r="F9183" s="19"/>
      <c r="G9183" s="19"/>
      <c r="N9183" s="19"/>
      <c r="P9183" s="19"/>
      <c r="AL9183" s="19"/>
    </row>
    <row r="9184" spans="1:38" s="11" customFormat="1" x14ac:dyDescent="0.25">
      <c r="A9184" s="3"/>
      <c r="F9184" s="19"/>
      <c r="G9184" s="19"/>
      <c r="N9184" s="19"/>
      <c r="P9184" s="19"/>
      <c r="AL9184" s="19"/>
    </row>
    <row r="9185" spans="1:38" s="11" customFormat="1" x14ac:dyDescent="0.25">
      <c r="A9185" s="3"/>
      <c r="F9185" s="19"/>
      <c r="G9185" s="19"/>
      <c r="N9185" s="19"/>
      <c r="P9185" s="19"/>
      <c r="AL9185" s="19"/>
    </row>
    <row r="9186" spans="1:38" s="11" customFormat="1" x14ac:dyDescent="0.25">
      <c r="A9186" s="3"/>
      <c r="F9186" s="19"/>
      <c r="G9186" s="19"/>
      <c r="N9186" s="19"/>
      <c r="P9186" s="19"/>
      <c r="AL9186" s="19"/>
    </row>
    <row r="9187" spans="1:38" s="11" customFormat="1" x14ac:dyDescent="0.25">
      <c r="A9187" s="3"/>
      <c r="F9187" s="19"/>
      <c r="G9187" s="19"/>
      <c r="N9187" s="19"/>
      <c r="P9187" s="19"/>
      <c r="AL9187" s="19"/>
    </row>
    <row r="9188" spans="1:38" s="11" customFormat="1" x14ac:dyDescent="0.25">
      <c r="A9188" s="3"/>
      <c r="F9188" s="19"/>
      <c r="G9188" s="19"/>
      <c r="N9188" s="19"/>
      <c r="P9188" s="19"/>
      <c r="AL9188" s="19"/>
    </row>
    <row r="9189" spans="1:38" s="11" customFormat="1" x14ac:dyDescent="0.25">
      <c r="A9189" s="3"/>
      <c r="F9189" s="19"/>
      <c r="G9189" s="19"/>
      <c r="N9189" s="19"/>
      <c r="P9189" s="19"/>
      <c r="AL9189" s="19"/>
    </row>
    <row r="9190" spans="1:38" s="11" customFormat="1" x14ac:dyDescent="0.25">
      <c r="A9190" s="3"/>
      <c r="F9190" s="19"/>
      <c r="G9190" s="19"/>
      <c r="N9190" s="19"/>
      <c r="P9190" s="19"/>
      <c r="AL9190" s="19"/>
    </row>
    <row r="9191" spans="1:38" s="11" customFormat="1" x14ac:dyDescent="0.25">
      <c r="A9191" s="3"/>
      <c r="F9191" s="19"/>
      <c r="G9191" s="19"/>
      <c r="N9191" s="19"/>
      <c r="P9191" s="19"/>
      <c r="AL9191" s="19"/>
    </row>
    <row r="9192" spans="1:38" s="11" customFormat="1" x14ac:dyDescent="0.25">
      <c r="A9192" s="3"/>
      <c r="F9192" s="19"/>
      <c r="G9192" s="19"/>
      <c r="N9192" s="19"/>
      <c r="P9192" s="19"/>
      <c r="AL9192" s="19"/>
    </row>
    <row r="9193" spans="1:38" s="11" customFormat="1" x14ac:dyDescent="0.25">
      <c r="A9193" s="3"/>
      <c r="F9193" s="19"/>
      <c r="G9193" s="19"/>
      <c r="N9193" s="19"/>
      <c r="P9193" s="19"/>
      <c r="AL9193" s="19"/>
    </row>
    <row r="9194" spans="1:38" s="11" customFormat="1" x14ac:dyDescent="0.25">
      <c r="A9194" s="3"/>
      <c r="F9194" s="19"/>
      <c r="G9194" s="19"/>
      <c r="N9194" s="19"/>
      <c r="P9194" s="19"/>
      <c r="AL9194" s="19"/>
    </row>
    <row r="9195" spans="1:38" s="11" customFormat="1" x14ac:dyDescent="0.25">
      <c r="A9195" s="3"/>
      <c r="F9195" s="19"/>
      <c r="G9195" s="19"/>
      <c r="N9195" s="19"/>
      <c r="P9195" s="19"/>
      <c r="AL9195" s="19"/>
    </row>
    <row r="9196" spans="1:38" s="11" customFormat="1" x14ac:dyDescent="0.25">
      <c r="A9196" s="3"/>
      <c r="F9196" s="19"/>
      <c r="G9196" s="19"/>
      <c r="N9196" s="19"/>
      <c r="P9196" s="19"/>
      <c r="AL9196" s="19"/>
    </row>
    <row r="9197" spans="1:38" s="11" customFormat="1" x14ac:dyDescent="0.25">
      <c r="A9197" s="3"/>
      <c r="F9197" s="19"/>
      <c r="G9197" s="19"/>
      <c r="N9197" s="19"/>
      <c r="P9197" s="19"/>
      <c r="AL9197" s="19"/>
    </row>
    <row r="9198" spans="1:38" s="11" customFormat="1" x14ac:dyDescent="0.25">
      <c r="A9198" s="3"/>
      <c r="F9198" s="19"/>
      <c r="G9198" s="19"/>
      <c r="N9198" s="19"/>
      <c r="P9198" s="19"/>
      <c r="AL9198" s="19"/>
    </row>
    <row r="9199" spans="1:38" s="11" customFormat="1" x14ac:dyDescent="0.25">
      <c r="A9199" s="3"/>
      <c r="F9199" s="19"/>
      <c r="G9199" s="19"/>
      <c r="N9199" s="19"/>
      <c r="P9199" s="19"/>
      <c r="AL9199" s="19"/>
    </row>
    <row r="9200" spans="1:38" s="11" customFormat="1" x14ac:dyDescent="0.25">
      <c r="A9200" s="3"/>
      <c r="F9200" s="19"/>
      <c r="G9200" s="19"/>
      <c r="N9200" s="19"/>
      <c r="P9200" s="19"/>
      <c r="AL9200" s="19"/>
    </row>
    <row r="9201" spans="1:38" s="11" customFormat="1" x14ac:dyDescent="0.25">
      <c r="A9201" s="3"/>
      <c r="F9201" s="19"/>
      <c r="G9201" s="19"/>
      <c r="N9201" s="19"/>
      <c r="P9201" s="19"/>
      <c r="AL9201" s="19"/>
    </row>
    <row r="9202" spans="1:38" s="11" customFormat="1" x14ac:dyDescent="0.25">
      <c r="A9202" s="3"/>
      <c r="F9202" s="19"/>
      <c r="G9202" s="19"/>
      <c r="N9202" s="19"/>
      <c r="P9202" s="19"/>
      <c r="AL9202" s="19"/>
    </row>
    <row r="9203" spans="1:38" s="11" customFormat="1" x14ac:dyDescent="0.25">
      <c r="A9203" s="3"/>
      <c r="F9203" s="19"/>
      <c r="G9203" s="19"/>
      <c r="N9203" s="19"/>
      <c r="P9203" s="19"/>
      <c r="AL9203" s="19"/>
    </row>
    <row r="9204" spans="1:38" s="11" customFormat="1" x14ac:dyDescent="0.25">
      <c r="A9204" s="3"/>
      <c r="F9204" s="19"/>
      <c r="G9204" s="19"/>
      <c r="N9204" s="19"/>
      <c r="P9204" s="19"/>
      <c r="AL9204" s="19"/>
    </row>
    <row r="9205" spans="1:38" s="11" customFormat="1" x14ac:dyDescent="0.25">
      <c r="A9205" s="3"/>
      <c r="F9205" s="19"/>
      <c r="G9205" s="19"/>
      <c r="N9205" s="19"/>
      <c r="P9205" s="19"/>
      <c r="AL9205" s="19"/>
    </row>
    <row r="9206" spans="1:38" s="11" customFormat="1" x14ac:dyDescent="0.25">
      <c r="A9206" s="3"/>
      <c r="F9206" s="19"/>
      <c r="G9206" s="19"/>
      <c r="N9206" s="19"/>
      <c r="P9206" s="19"/>
      <c r="AL9206" s="19"/>
    </row>
    <row r="9207" spans="1:38" s="11" customFormat="1" x14ac:dyDescent="0.25">
      <c r="A9207" s="3"/>
      <c r="F9207" s="19"/>
      <c r="G9207" s="19"/>
      <c r="N9207" s="19"/>
      <c r="P9207" s="19"/>
      <c r="AL9207" s="19"/>
    </row>
    <row r="9208" spans="1:38" s="11" customFormat="1" x14ac:dyDescent="0.25">
      <c r="A9208" s="3"/>
      <c r="F9208" s="19"/>
      <c r="G9208" s="19"/>
      <c r="N9208" s="19"/>
      <c r="P9208" s="19"/>
      <c r="AL9208" s="19"/>
    </row>
    <row r="9209" spans="1:38" s="11" customFormat="1" x14ac:dyDescent="0.25">
      <c r="A9209" s="3"/>
      <c r="F9209" s="19"/>
      <c r="G9209" s="19"/>
      <c r="N9209" s="19"/>
      <c r="P9209" s="19"/>
      <c r="AL9209" s="19"/>
    </row>
    <row r="9210" spans="1:38" s="11" customFormat="1" x14ac:dyDescent="0.25">
      <c r="A9210" s="3"/>
      <c r="F9210" s="19"/>
      <c r="G9210" s="19"/>
      <c r="N9210" s="19"/>
      <c r="P9210" s="19"/>
      <c r="AL9210" s="19"/>
    </row>
    <row r="9211" spans="1:38" s="11" customFormat="1" x14ac:dyDescent="0.25">
      <c r="A9211" s="3"/>
      <c r="F9211" s="19"/>
      <c r="G9211" s="19"/>
      <c r="N9211" s="19"/>
      <c r="P9211" s="19"/>
      <c r="AL9211" s="19"/>
    </row>
    <row r="9212" spans="1:38" s="11" customFormat="1" x14ac:dyDescent="0.25">
      <c r="A9212" s="3"/>
      <c r="F9212" s="19"/>
      <c r="G9212" s="19"/>
      <c r="N9212" s="19"/>
      <c r="P9212" s="19"/>
      <c r="AL9212" s="19"/>
    </row>
    <row r="9213" spans="1:38" s="11" customFormat="1" x14ac:dyDescent="0.25">
      <c r="A9213" s="3"/>
      <c r="F9213" s="19"/>
      <c r="G9213" s="19"/>
      <c r="N9213" s="19"/>
      <c r="P9213" s="19"/>
      <c r="AL9213" s="19"/>
    </row>
    <row r="9214" spans="1:38" s="11" customFormat="1" x14ac:dyDescent="0.25">
      <c r="A9214" s="3"/>
      <c r="F9214" s="19"/>
      <c r="G9214" s="19"/>
      <c r="N9214" s="19"/>
      <c r="P9214" s="19"/>
      <c r="AL9214" s="19"/>
    </row>
    <row r="9215" spans="1:38" s="11" customFormat="1" x14ac:dyDescent="0.25">
      <c r="A9215" s="3"/>
      <c r="F9215" s="19"/>
      <c r="G9215" s="19"/>
      <c r="N9215" s="19"/>
      <c r="P9215" s="19"/>
      <c r="AL9215" s="19"/>
    </row>
    <row r="9216" spans="1:38" s="11" customFormat="1" x14ac:dyDescent="0.25">
      <c r="A9216" s="3"/>
      <c r="F9216" s="19"/>
      <c r="G9216" s="19"/>
      <c r="N9216" s="19"/>
      <c r="P9216" s="19"/>
      <c r="AL9216" s="19"/>
    </row>
    <row r="9217" spans="1:38" s="11" customFormat="1" x14ac:dyDescent="0.25">
      <c r="A9217" s="3"/>
      <c r="F9217" s="19"/>
      <c r="G9217" s="19"/>
      <c r="N9217" s="19"/>
      <c r="P9217" s="19"/>
      <c r="AL9217" s="19"/>
    </row>
    <row r="9218" spans="1:38" s="11" customFormat="1" x14ac:dyDescent="0.25">
      <c r="A9218" s="3"/>
      <c r="F9218" s="19"/>
      <c r="G9218" s="19"/>
      <c r="N9218" s="19"/>
      <c r="P9218" s="19"/>
      <c r="AL9218" s="19"/>
    </row>
    <row r="9219" spans="1:38" s="11" customFormat="1" x14ac:dyDescent="0.25">
      <c r="A9219" s="3"/>
      <c r="F9219" s="19"/>
      <c r="G9219" s="19"/>
      <c r="N9219" s="19"/>
      <c r="P9219" s="19"/>
      <c r="AL9219" s="19"/>
    </row>
    <row r="9220" spans="1:38" s="11" customFormat="1" x14ac:dyDescent="0.25">
      <c r="A9220" s="3"/>
      <c r="F9220" s="19"/>
      <c r="G9220" s="19"/>
      <c r="N9220" s="19"/>
      <c r="P9220" s="19"/>
      <c r="AL9220" s="19"/>
    </row>
    <row r="9221" spans="1:38" s="11" customFormat="1" x14ac:dyDescent="0.25">
      <c r="A9221" s="3"/>
      <c r="F9221" s="19"/>
      <c r="G9221" s="19"/>
      <c r="N9221" s="19"/>
      <c r="P9221" s="19"/>
      <c r="AL9221" s="19"/>
    </row>
    <row r="9222" spans="1:38" s="11" customFormat="1" x14ac:dyDescent="0.25">
      <c r="A9222" s="3"/>
      <c r="F9222" s="19"/>
      <c r="G9222" s="19"/>
      <c r="N9222" s="19"/>
      <c r="P9222" s="19"/>
      <c r="AL9222" s="19"/>
    </row>
    <row r="9223" spans="1:38" s="11" customFormat="1" x14ac:dyDescent="0.25">
      <c r="A9223" s="3"/>
      <c r="F9223" s="19"/>
      <c r="G9223" s="19"/>
      <c r="N9223" s="19"/>
      <c r="P9223" s="19"/>
      <c r="AL9223" s="19"/>
    </row>
    <row r="9224" spans="1:38" s="11" customFormat="1" x14ac:dyDescent="0.25">
      <c r="A9224" s="3"/>
      <c r="F9224" s="19"/>
      <c r="G9224" s="19"/>
      <c r="N9224" s="19"/>
      <c r="P9224" s="19"/>
      <c r="AL9224" s="19"/>
    </row>
    <row r="9225" spans="1:38" s="11" customFormat="1" x14ac:dyDescent="0.25">
      <c r="A9225" s="3"/>
      <c r="F9225" s="19"/>
      <c r="G9225" s="19"/>
      <c r="N9225" s="19"/>
      <c r="P9225" s="19"/>
      <c r="AL9225" s="19"/>
    </row>
    <row r="9226" spans="1:38" s="11" customFormat="1" x14ac:dyDescent="0.25">
      <c r="A9226" s="3"/>
      <c r="F9226" s="19"/>
      <c r="G9226" s="19"/>
      <c r="N9226" s="19"/>
      <c r="P9226" s="19"/>
      <c r="AL9226" s="19"/>
    </row>
    <row r="9227" spans="1:38" s="11" customFormat="1" x14ac:dyDescent="0.25">
      <c r="A9227" s="3"/>
      <c r="F9227" s="19"/>
      <c r="G9227" s="19"/>
      <c r="N9227" s="19"/>
      <c r="P9227" s="19"/>
      <c r="AL9227" s="19"/>
    </row>
    <row r="9228" spans="1:38" s="11" customFormat="1" x14ac:dyDescent="0.25">
      <c r="A9228" s="3"/>
      <c r="F9228" s="19"/>
      <c r="G9228" s="19"/>
      <c r="N9228" s="19"/>
      <c r="P9228" s="19"/>
      <c r="AL9228" s="19"/>
    </row>
    <row r="9229" spans="1:38" s="11" customFormat="1" x14ac:dyDescent="0.25">
      <c r="A9229" s="3"/>
      <c r="F9229" s="19"/>
      <c r="G9229" s="19"/>
      <c r="N9229" s="19"/>
      <c r="P9229" s="19"/>
      <c r="AL9229" s="19"/>
    </row>
    <row r="9230" spans="1:38" s="11" customFormat="1" x14ac:dyDescent="0.25">
      <c r="A9230" s="3"/>
      <c r="F9230" s="19"/>
      <c r="G9230" s="19"/>
      <c r="N9230" s="19"/>
      <c r="P9230" s="19"/>
      <c r="AL9230" s="19"/>
    </row>
    <row r="9231" spans="1:38" s="11" customFormat="1" x14ac:dyDescent="0.25">
      <c r="A9231" s="3"/>
      <c r="F9231" s="19"/>
      <c r="G9231" s="19"/>
      <c r="N9231" s="19"/>
      <c r="P9231" s="19"/>
      <c r="AL9231" s="19"/>
    </row>
    <row r="9232" spans="1:38" s="11" customFormat="1" x14ac:dyDescent="0.25">
      <c r="A9232" s="3"/>
      <c r="F9232" s="19"/>
      <c r="G9232" s="19"/>
      <c r="N9232" s="19"/>
      <c r="P9232" s="19"/>
      <c r="AL9232" s="19"/>
    </row>
    <row r="9233" spans="1:38" s="11" customFormat="1" x14ac:dyDescent="0.25">
      <c r="A9233" s="3"/>
      <c r="F9233" s="19"/>
      <c r="G9233" s="19"/>
      <c r="N9233" s="19"/>
      <c r="P9233" s="19"/>
      <c r="AL9233" s="19"/>
    </row>
    <row r="9234" spans="1:38" s="11" customFormat="1" x14ac:dyDescent="0.25">
      <c r="A9234" s="3"/>
      <c r="F9234" s="19"/>
      <c r="G9234" s="19"/>
      <c r="N9234" s="19"/>
      <c r="P9234" s="19"/>
      <c r="AL9234" s="19"/>
    </row>
    <row r="9235" spans="1:38" s="11" customFormat="1" x14ac:dyDescent="0.25">
      <c r="A9235" s="3"/>
      <c r="F9235" s="19"/>
      <c r="G9235" s="19"/>
      <c r="N9235" s="19"/>
      <c r="P9235" s="19"/>
      <c r="AL9235" s="19"/>
    </row>
    <row r="9236" spans="1:38" s="11" customFormat="1" x14ac:dyDescent="0.25">
      <c r="A9236" s="3"/>
      <c r="F9236" s="19"/>
      <c r="G9236" s="19"/>
      <c r="N9236" s="19"/>
      <c r="P9236" s="19"/>
      <c r="AL9236" s="19"/>
    </row>
    <row r="9237" spans="1:38" s="11" customFormat="1" x14ac:dyDescent="0.25">
      <c r="A9237" s="3"/>
      <c r="F9237" s="19"/>
      <c r="G9237" s="19"/>
      <c r="N9237" s="19"/>
      <c r="P9237" s="19"/>
      <c r="AL9237" s="19"/>
    </row>
    <row r="9238" spans="1:38" s="11" customFormat="1" x14ac:dyDescent="0.25">
      <c r="A9238" s="3"/>
      <c r="F9238" s="19"/>
      <c r="G9238" s="19"/>
      <c r="N9238" s="19"/>
      <c r="P9238" s="19"/>
      <c r="AL9238" s="19"/>
    </row>
    <row r="9239" spans="1:38" s="11" customFormat="1" x14ac:dyDescent="0.25">
      <c r="A9239" s="3"/>
      <c r="F9239" s="19"/>
      <c r="G9239" s="19"/>
      <c r="N9239" s="19"/>
      <c r="P9239" s="19"/>
      <c r="AL9239" s="19"/>
    </row>
    <row r="9240" spans="1:38" s="11" customFormat="1" x14ac:dyDescent="0.25">
      <c r="A9240" s="3"/>
      <c r="F9240" s="19"/>
      <c r="G9240" s="19"/>
      <c r="N9240" s="19"/>
      <c r="P9240" s="19"/>
      <c r="AL9240" s="19"/>
    </row>
    <row r="9241" spans="1:38" s="11" customFormat="1" x14ac:dyDescent="0.25">
      <c r="A9241" s="3"/>
      <c r="F9241" s="19"/>
      <c r="G9241" s="19"/>
      <c r="N9241" s="19"/>
      <c r="P9241" s="19"/>
      <c r="AL9241" s="19"/>
    </row>
    <row r="9242" spans="1:38" s="11" customFormat="1" x14ac:dyDescent="0.25">
      <c r="A9242" s="3"/>
      <c r="F9242" s="19"/>
      <c r="G9242" s="19"/>
      <c r="N9242" s="19"/>
      <c r="P9242" s="19"/>
      <c r="AL9242" s="19"/>
    </row>
    <row r="9243" spans="1:38" s="11" customFormat="1" x14ac:dyDescent="0.25">
      <c r="A9243" s="3"/>
      <c r="F9243" s="19"/>
      <c r="G9243" s="19"/>
      <c r="N9243" s="19"/>
      <c r="P9243" s="19"/>
      <c r="AL9243" s="19"/>
    </row>
    <row r="9244" spans="1:38" s="11" customFormat="1" x14ac:dyDescent="0.25">
      <c r="A9244" s="3"/>
      <c r="F9244" s="19"/>
      <c r="G9244" s="19"/>
      <c r="N9244" s="19"/>
      <c r="P9244" s="19"/>
      <c r="AL9244" s="19"/>
    </row>
    <row r="9245" spans="1:38" s="11" customFormat="1" x14ac:dyDescent="0.25">
      <c r="A9245" s="3"/>
      <c r="F9245" s="19"/>
      <c r="G9245" s="19"/>
      <c r="N9245" s="19"/>
      <c r="P9245" s="19"/>
      <c r="AL9245" s="19"/>
    </row>
    <row r="9246" spans="1:38" s="11" customFormat="1" x14ac:dyDescent="0.25">
      <c r="A9246" s="3"/>
      <c r="F9246" s="19"/>
      <c r="G9246" s="19"/>
      <c r="N9246" s="19"/>
      <c r="P9246" s="19"/>
      <c r="AL9246" s="19"/>
    </row>
    <row r="9247" spans="1:38" s="11" customFormat="1" x14ac:dyDescent="0.25">
      <c r="A9247" s="3"/>
      <c r="F9247" s="19"/>
      <c r="G9247" s="19"/>
      <c r="N9247" s="19"/>
      <c r="P9247" s="19"/>
      <c r="AL9247" s="19"/>
    </row>
    <row r="9248" spans="1:38" s="11" customFormat="1" x14ac:dyDescent="0.25">
      <c r="A9248" s="3"/>
      <c r="F9248" s="19"/>
      <c r="G9248" s="19"/>
      <c r="N9248" s="19"/>
      <c r="P9248" s="19"/>
      <c r="AL9248" s="19"/>
    </row>
    <row r="9249" spans="1:38" s="11" customFormat="1" x14ac:dyDescent="0.25">
      <c r="A9249" s="3"/>
      <c r="F9249" s="19"/>
      <c r="G9249" s="19"/>
      <c r="N9249" s="19"/>
      <c r="P9249" s="19"/>
      <c r="AL9249" s="19"/>
    </row>
    <row r="9250" spans="1:38" s="11" customFormat="1" x14ac:dyDescent="0.25">
      <c r="A9250" s="3"/>
      <c r="F9250" s="19"/>
      <c r="G9250" s="19"/>
      <c r="N9250" s="19"/>
      <c r="P9250" s="19"/>
      <c r="AL9250" s="19"/>
    </row>
    <row r="9251" spans="1:38" s="11" customFormat="1" x14ac:dyDescent="0.25">
      <c r="A9251" s="3"/>
      <c r="F9251" s="19"/>
      <c r="G9251" s="19"/>
      <c r="N9251" s="19"/>
      <c r="P9251" s="19"/>
      <c r="AL9251" s="19"/>
    </row>
    <row r="9252" spans="1:38" s="11" customFormat="1" x14ac:dyDescent="0.25">
      <c r="A9252" s="3"/>
      <c r="F9252" s="19"/>
      <c r="G9252" s="19"/>
      <c r="N9252" s="19"/>
      <c r="P9252" s="19"/>
      <c r="AL9252" s="19"/>
    </row>
    <row r="9253" spans="1:38" s="11" customFormat="1" x14ac:dyDescent="0.25">
      <c r="A9253" s="3"/>
      <c r="F9253" s="19"/>
      <c r="G9253" s="19"/>
      <c r="N9253" s="19"/>
      <c r="P9253" s="19"/>
      <c r="AL9253" s="19"/>
    </row>
    <row r="9254" spans="1:38" s="11" customFormat="1" x14ac:dyDescent="0.25">
      <c r="A9254" s="3"/>
      <c r="F9254" s="19"/>
      <c r="G9254" s="19"/>
      <c r="N9254" s="19"/>
      <c r="P9254" s="19"/>
      <c r="AL9254" s="19"/>
    </row>
    <row r="9255" spans="1:38" s="11" customFormat="1" x14ac:dyDescent="0.25">
      <c r="A9255" s="3"/>
      <c r="F9255" s="19"/>
      <c r="G9255" s="19"/>
      <c r="N9255" s="19"/>
      <c r="P9255" s="19"/>
      <c r="AL9255" s="19"/>
    </row>
    <row r="9256" spans="1:38" s="11" customFormat="1" x14ac:dyDescent="0.25">
      <c r="A9256" s="3"/>
      <c r="F9256" s="19"/>
      <c r="G9256" s="19"/>
      <c r="N9256" s="19"/>
      <c r="P9256" s="19"/>
      <c r="AL9256" s="19"/>
    </row>
    <row r="9257" spans="1:38" s="11" customFormat="1" x14ac:dyDescent="0.25">
      <c r="A9257" s="3"/>
      <c r="F9257" s="19"/>
      <c r="G9257" s="19"/>
      <c r="N9257" s="19"/>
      <c r="P9257" s="19"/>
      <c r="AL9257" s="19"/>
    </row>
    <row r="9258" spans="1:38" s="11" customFormat="1" x14ac:dyDescent="0.25">
      <c r="A9258" s="3"/>
      <c r="F9258" s="19"/>
      <c r="G9258" s="19"/>
      <c r="N9258" s="19"/>
      <c r="P9258" s="19"/>
      <c r="AL9258" s="19"/>
    </row>
    <row r="9259" spans="1:38" s="11" customFormat="1" x14ac:dyDescent="0.25">
      <c r="A9259" s="3"/>
      <c r="F9259" s="19"/>
      <c r="G9259" s="19"/>
      <c r="N9259" s="19"/>
      <c r="P9259" s="19"/>
      <c r="AL9259" s="19"/>
    </row>
    <row r="9260" spans="1:38" s="11" customFormat="1" x14ac:dyDescent="0.25">
      <c r="A9260" s="3"/>
      <c r="F9260" s="19"/>
      <c r="G9260" s="19"/>
      <c r="N9260" s="19"/>
      <c r="P9260" s="19"/>
      <c r="AL9260" s="19"/>
    </row>
    <row r="9261" spans="1:38" s="11" customFormat="1" x14ac:dyDescent="0.25">
      <c r="A9261" s="3"/>
      <c r="F9261" s="19"/>
      <c r="G9261" s="19"/>
      <c r="N9261" s="19"/>
      <c r="P9261" s="19"/>
      <c r="AL9261" s="19"/>
    </row>
    <row r="9262" spans="1:38" s="11" customFormat="1" x14ac:dyDescent="0.25">
      <c r="A9262" s="3"/>
      <c r="F9262" s="19"/>
      <c r="G9262" s="19"/>
      <c r="N9262" s="19"/>
      <c r="P9262" s="19"/>
      <c r="AL9262" s="19"/>
    </row>
    <row r="9263" spans="1:38" s="11" customFormat="1" x14ac:dyDescent="0.25">
      <c r="A9263" s="3"/>
      <c r="F9263" s="19"/>
      <c r="G9263" s="19"/>
      <c r="N9263" s="19"/>
      <c r="P9263" s="19"/>
      <c r="AL9263" s="19"/>
    </row>
    <row r="9264" spans="1:38" s="11" customFormat="1" x14ac:dyDescent="0.25">
      <c r="A9264" s="3"/>
      <c r="F9264" s="19"/>
      <c r="G9264" s="19"/>
      <c r="N9264" s="19"/>
      <c r="P9264" s="19"/>
      <c r="AL9264" s="19"/>
    </row>
    <row r="9265" spans="1:38" s="11" customFormat="1" x14ac:dyDescent="0.25">
      <c r="A9265" s="3"/>
      <c r="F9265" s="19"/>
      <c r="G9265" s="19"/>
      <c r="N9265" s="19"/>
      <c r="P9265" s="19"/>
      <c r="AL9265" s="19"/>
    </row>
    <row r="9266" spans="1:38" s="11" customFormat="1" x14ac:dyDescent="0.25">
      <c r="A9266" s="3"/>
      <c r="F9266" s="19"/>
      <c r="G9266" s="19"/>
      <c r="N9266" s="19"/>
      <c r="P9266" s="19"/>
      <c r="AL9266" s="19"/>
    </row>
    <row r="9267" spans="1:38" s="11" customFormat="1" x14ac:dyDescent="0.25">
      <c r="A9267" s="3"/>
      <c r="F9267" s="19"/>
      <c r="G9267" s="19"/>
      <c r="N9267" s="19"/>
      <c r="P9267" s="19"/>
      <c r="AL9267" s="19"/>
    </row>
    <row r="9268" spans="1:38" s="11" customFormat="1" x14ac:dyDescent="0.25">
      <c r="A9268" s="3"/>
      <c r="F9268" s="19"/>
      <c r="G9268" s="19"/>
      <c r="N9268" s="19"/>
      <c r="P9268" s="19"/>
      <c r="AL9268" s="19"/>
    </row>
    <row r="9269" spans="1:38" s="11" customFormat="1" x14ac:dyDescent="0.25">
      <c r="A9269" s="3"/>
      <c r="F9269" s="19"/>
      <c r="G9269" s="19"/>
      <c r="N9269" s="19"/>
      <c r="P9269" s="19"/>
      <c r="AL9269" s="19"/>
    </row>
    <row r="9270" spans="1:38" s="11" customFormat="1" x14ac:dyDescent="0.25">
      <c r="A9270" s="3"/>
      <c r="F9270" s="19"/>
      <c r="G9270" s="19"/>
      <c r="N9270" s="19"/>
      <c r="P9270" s="19"/>
      <c r="AL9270" s="19"/>
    </row>
    <row r="9271" spans="1:38" s="11" customFormat="1" x14ac:dyDescent="0.25">
      <c r="A9271" s="3"/>
      <c r="F9271" s="19"/>
      <c r="G9271" s="19"/>
      <c r="N9271" s="19"/>
      <c r="P9271" s="19"/>
      <c r="AL9271" s="19"/>
    </row>
    <row r="9272" spans="1:38" s="11" customFormat="1" x14ac:dyDescent="0.25">
      <c r="A9272" s="3"/>
      <c r="F9272" s="19"/>
      <c r="G9272" s="19"/>
      <c r="N9272" s="19"/>
      <c r="P9272" s="19"/>
      <c r="AL9272" s="19"/>
    </row>
    <row r="9273" spans="1:38" s="11" customFormat="1" x14ac:dyDescent="0.25">
      <c r="A9273" s="3"/>
      <c r="F9273" s="19"/>
      <c r="G9273" s="19"/>
      <c r="N9273" s="19"/>
      <c r="P9273" s="19"/>
      <c r="AL9273" s="19"/>
    </row>
    <row r="9274" spans="1:38" s="11" customFormat="1" x14ac:dyDescent="0.25">
      <c r="A9274" s="3"/>
      <c r="F9274" s="19"/>
      <c r="G9274" s="19"/>
      <c r="N9274" s="19"/>
      <c r="P9274" s="19"/>
      <c r="AL9274" s="19"/>
    </row>
    <row r="9275" spans="1:38" s="11" customFormat="1" x14ac:dyDescent="0.25">
      <c r="A9275" s="3"/>
      <c r="F9275" s="19"/>
      <c r="G9275" s="19"/>
      <c r="N9275" s="19"/>
      <c r="P9275" s="19"/>
      <c r="AL9275" s="19"/>
    </row>
    <row r="9276" spans="1:38" s="11" customFormat="1" x14ac:dyDescent="0.25">
      <c r="A9276" s="3"/>
      <c r="F9276" s="19"/>
      <c r="G9276" s="19"/>
      <c r="N9276" s="19"/>
      <c r="P9276" s="19"/>
      <c r="AL9276" s="19"/>
    </row>
    <row r="9277" spans="1:38" s="11" customFormat="1" x14ac:dyDescent="0.25">
      <c r="A9277" s="3"/>
      <c r="F9277" s="19"/>
      <c r="G9277" s="19"/>
      <c r="N9277" s="19"/>
      <c r="P9277" s="19"/>
      <c r="AL9277" s="19"/>
    </row>
    <row r="9278" spans="1:38" s="11" customFormat="1" x14ac:dyDescent="0.25">
      <c r="A9278" s="3"/>
      <c r="F9278" s="19"/>
      <c r="G9278" s="19"/>
      <c r="N9278" s="19"/>
      <c r="P9278" s="19"/>
      <c r="AL9278" s="19"/>
    </row>
    <row r="9279" spans="1:38" s="11" customFormat="1" x14ac:dyDescent="0.25">
      <c r="A9279" s="3"/>
      <c r="F9279" s="19"/>
      <c r="G9279" s="19"/>
      <c r="N9279" s="19"/>
      <c r="P9279" s="19"/>
      <c r="AL9279" s="19"/>
    </row>
    <row r="9280" spans="1:38" s="11" customFormat="1" x14ac:dyDescent="0.25">
      <c r="A9280" s="3"/>
      <c r="F9280" s="19"/>
      <c r="G9280" s="19"/>
      <c r="N9280" s="19"/>
      <c r="P9280" s="19"/>
      <c r="AL9280" s="19"/>
    </row>
    <row r="9281" spans="1:38" s="11" customFormat="1" x14ac:dyDescent="0.25">
      <c r="A9281" s="3"/>
      <c r="F9281" s="19"/>
      <c r="G9281" s="19"/>
      <c r="N9281" s="19"/>
      <c r="P9281" s="19"/>
      <c r="AL9281" s="19"/>
    </row>
    <row r="9282" spans="1:38" s="11" customFormat="1" x14ac:dyDescent="0.25">
      <c r="A9282" s="3"/>
      <c r="F9282" s="19"/>
      <c r="G9282" s="19"/>
      <c r="N9282" s="19"/>
      <c r="P9282" s="19"/>
      <c r="AL9282" s="19"/>
    </row>
    <row r="9283" spans="1:38" s="11" customFormat="1" x14ac:dyDescent="0.25">
      <c r="A9283" s="3"/>
      <c r="F9283" s="19"/>
      <c r="G9283" s="19"/>
      <c r="N9283" s="19"/>
      <c r="P9283" s="19"/>
      <c r="AL9283" s="19"/>
    </row>
    <row r="9284" spans="1:38" s="11" customFormat="1" x14ac:dyDescent="0.25">
      <c r="A9284" s="3"/>
      <c r="F9284" s="19"/>
      <c r="G9284" s="19"/>
      <c r="N9284" s="19"/>
      <c r="P9284" s="19"/>
      <c r="AL9284" s="19"/>
    </row>
    <row r="9285" spans="1:38" s="11" customFormat="1" x14ac:dyDescent="0.25">
      <c r="A9285" s="3"/>
      <c r="F9285" s="19"/>
      <c r="G9285" s="19"/>
      <c r="N9285" s="19"/>
      <c r="P9285" s="19"/>
      <c r="AL9285" s="19"/>
    </row>
    <row r="9286" spans="1:38" s="11" customFormat="1" x14ac:dyDescent="0.25">
      <c r="A9286" s="3"/>
      <c r="F9286" s="19"/>
      <c r="G9286" s="19"/>
      <c r="N9286" s="19"/>
      <c r="P9286" s="19"/>
      <c r="AL9286" s="19"/>
    </row>
    <row r="9287" spans="1:38" s="11" customFormat="1" x14ac:dyDescent="0.25">
      <c r="A9287" s="3"/>
      <c r="F9287" s="19"/>
      <c r="G9287" s="19"/>
      <c r="N9287" s="19"/>
      <c r="P9287" s="19"/>
      <c r="AL9287" s="19"/>
    </row>
    <row r="9288" spans="1:38" s="11" customFormat="1" x14ac:dyDescent="0.25">
      <c r="A9288" s="3"/>
      <c r="F9288" s="19"/>
      <c r="G9288" s="19"/>
      <c r="N9288" s="19"/>
      <c r="P9288" s="19"/>
      <c r="AL9288" s="19"/>
    </row>
    <row r="9289" spans="1:38" s="11" customFormat="1" x14ac:dyDescent="0.25">
      <c r="A9289" s="3"/>
      <c r="F9289" s="19"/>
      <c r="G9289" s="19"/>
      <c r="N9289" s="19"/>
      <c r="P9289" s="19"/>
      <c r="AL9289" s="19"/>
    </row>
    <row r="9290" spans="1:38" s="11" customFormat="1" x14ac:dyDescent="0.25">
      <c r="A9290" s="3"/>
      <c r="F9290" s="19"/>
      <c r="G9290" s="19"/>
      <c r="N9290" s="19"/>
      <c r="P9290" s="19"/>
      <c r="AL9290" s="19"/>
    </row>
    <row r="9291" spans="1:38" s="11" customFormat="1" x14ac:dyDescent="0.25">
      <c r="A9291" s="3"/>
      <c r="F9291" s="19"/>
      <c r="G9291" s="19"/>
      <c r="N9291" s="19"/>
      <c r="P9291" s="19"/>
      <c r="AL9291" s="19"/>
    </row>
    <row r="9292" spans="1:38" s="11" customFormat="1" x14ac:dyDescent="0.25">
      <c r="A9292" s="3"/>
      <c r="F9292" s="19"/>
      <c r="G9292" s="19"/>
      <c r="N9292" s="19"/>
      <c r="P9292" s="19"/>
      <c r="AL9292" s="19"/>
    </row>
    <row r="9293" spans="1:38" s="11" customFormat="1" x14ac:dyDescent="0.25">
      <c r="A9293" s="3"/>
      <c r="F9293" s="19"/>
      <c r="G9293" s="19"/>
      <c r="N9293" s="19"/>
      <c r="P9293" s="19"/>
      <c r="AL9293" s="19"/>
    </row>
    <row r="9294" spans="1:38" s="11" customFormat="1" x14ac:dyDescent="0.25">
      <c r="A9294" s="3"/>
      <c r="F9294" s="19"/>
      <c r="G9294" s="19"/>
      <c r="N9294" s="19"/>
      <c r="P9294" s="19"/>
      <c r="AL9294" s="19"/>
    </row>
    <row r="9295" spans="1:38" s="11" customFormat="1" x14ac:dyDescent="0.25">
      <c r="A9295" s="3"/>
      <c r="F9295" s="19"/>
      <c r="G9295" s="19"/>
      <c r="N9295" s="19"/>
      <c r="P9295" s="19"/>
      <c r="AL9295" s="19"/>
    </row>
    <row r="9296" spans="1:38" s="11" customFormat="1" x14ac:dyDescent="0.25">
      <c r="A9296" s="3"/>
      <c r="F9296" s="19"/>
      <c r="G9296" s="19"/>
      <c r="N9296" s="19"/>
      <c r="P9296" s="19"/>
      <c r="AL9296" s="19"/>
    </row>
    <row r="9297" spans="1:38" s="11" customFormat="1" x14ac:dyDescent="0.25">
      <c r="A9297" s="3"/>
      <c r="F9297" s="19"/>
      <c r="G9297" s="19"/>
      <c r="N9297" s="19"/>
      <c r="P9297" s="19"/>
      <c r="AL9297" s="19"/>
    </row>
    <row r="9298" spans="1:38" s="11" customFormat="1" x14ac:dyDescent="0.25">
      <c r="A9298" s="3"/>
      <c r="F9298" s="19"/>
      <c r="G9298" s="19"/>
      <c r="N9298" s="19"/>
      <c r="P9298" s="19"/>
      <c r="AL9298" s="19"/>
    </row>
    <row r="9299" spans="1:38" s="11" customFormat="1" x14ac:dyDescent="0.25">
      <c r="A9299" s="3"/>
      <c r="F9299" s="19"/>
      <c r="G9299" s="19"/>
      <c r="N9299" s="19"/>
      <c r="P9299" s="19"/>
      <c r="AL9299" s="19"/>
    </row>
    <row r="9300" spans="1:38" s="11" customFormat="1" x14ac:dyDescent="0.25">
      <c r="A9300" s="3"/>
      <c r="F9300" s="19"/>
      <c r="G9300" s="19"/>
      <c r="N9300" s="19"/>
      <c r="P9300" s="19"/>
      <c r="AL9300" s="19"/>
    </row>
    <row r="9301" spans="1:38" s="11" customFormat="1" x14ac:dyDescent="0.25">
      <c r="A9301" s="3"/>
      <c r="F9301" s="19"/>
      <c r="G9301" s="19"/>
      <c r="N9301" s="19"/>
      <c r="P9301" s="19"/>
      <c r="AL9301" s="19"/>
    </row>
    <row r="9302" spans="1:38" s="11" customFormat="1" x14ac:dyDescent="0.25">
      <c r="A9302" s="3"/>
      <c r="F9302" s="19"/>
      <c r="G9302" s="19"/>
      <c r="N9302" s="19"/>
      <c r="P9302" s="19"/>
      <c r="AL9302" s="19"/>
    </row>
    <row r="9303" spans="1:38" s="11" customFormat="1" x14ac:dyDescent="0.25">
      <c r="A9303" s="3"/>
      <c r="F9303" s="19"/>
      <c r="G9303" s="19"/>
      <c r="N9303" s="19"/>
      <c r="P9303" s="19"/>
      <c r="AL9303" s="19"/>
    </row>
    <row r="9304" spans="1:38" s="11" customFormat="1" x14ac:dyDescent="0.25">
      <c r="A9304" s="3"/>
      <c r="F9304" s="19"/>
      <c r="G9304" s="19"/>
      <c r="N9304" s="19"/>
      <c r="P9304" s="19"/>
      <c r="AL9304" s="19"/>
    </row>
    <row r="9305" spans="1:38" s="11" customFormat="1" x14ac:dyDescent="0.25">
      <c r="A9305" s="3"/>
      <c r="F9305" s="19"/>
      <c r="G9305" s="19"/>
      <c r="N9305" s="19"/>
      <c r="P9305" s="19"/>
      <c r="AL9305" s="19"/>
    </row>
    <row r="9306" spans="1:38" s="11" customFormat="1" x14ac:dyDescent="0.25">
      <c r="A9306" s="3"/>
      <c r="F9306" s="19"/>
      <c r="G9306" s="19"/>
      <c r="N9306" s="19"/>
      <c r="P9306" s="19"/>
      <c r="AL9306" s="19"/>
    </row>
    <row r="9307" spans="1:38" s="11" customFormat="1" x14ac:dyDescent="0.25">
      <c r="A9307" s="3"/>
      <c r="F9307" s="19"/>
      <c r="G9307" s="19"/>
      <c r="N9307" s="19"/>
      <c r="P9307" s="19"/>
      <c r="AL9307" s="19"/>
    </row>
    <row r="9308" spans="1:38" s="11" customFormat="1" x14ac:dyDescent="0.25">
      <c r="A9308" s="3"/>
      <c r="F9308" s="19"/>
      <c r="G9308" s="19"/>
      <c r="N9308" s="19"/>
      <c r="P9308" s="19"/>
      <c r="AL9308" s="19"/>
    </row>
    <row r="9309" spans="1:38" s="11" customFormat="1" x14ac:dyDescent="0.25">
      <c r="A9309" s="3"/>
      <c r="F9309" s="19"/>
      <c r="G9309" s="19"/>
      <c r="N9309" s="19"/>
      <c r="P9309" s="19"/>
      <c r="AL9309" s="19"/>
    </row>
    <row r="9310" spans="1:38" s="11" customFormat="1" x14ac:dyDescent="0.25">
      <c r="A9310" s="3"/>
      <c r="F9310" s="19"/>
      <c r="G9310" s="19"/>
      <c r="N9310" s="19"/>
      <c r="P9310" s="19"/>
      <c r="AL9310" s="19"/>
    </row>
    <row r="9311" spans="1:38" s="11" customFormat="1" x14ac:dyDescent="0.25">
      <c r="A9311" s="3"/>
      <c r="F9311" s="19"/>
      <c r="G9311" s="19"/>
      <c r="N9311" s="19"/>
      <c r="P9311" s="19"/>
      <c r="AL9311" s="19"/>
    </row>
    <row r="9312" spans="1:38" s="11" customFormat="1" x14ac:dyDescent="0.25">
      <c r="A9312" s="3"/>
      <c r="F9312" s="19"/>
      <c r="G9312" s="19"/>
      <c r="N9312" s="19"/>
      <c r="P9312" s="19"/>
      <c r="AL9312" s="19"/>
    </row>
    <row r="9313" spans="1:38" s="11" customFormat="1" x14ac:dyDescent="0.25">
      <c r="A9313" s="3"/>
      <c r="F9313" s="19"/>
      <c r="G9313" s="19"/>
      <c r="N9313" s="19"/>
      <c r="P9313" s="19"/>
      <c r="AL9313" s="19"/>
    </row>
    <row r="9314" spans="1:38" s="11" customFormat="1" x14ac:dyDescent="0.25">
      <c r="A9314" s="3"/>
      <c r="F9314" s="19"/>
      <c r="G9314" s="19"/>
      <c r="N9314" s="19"/>
      <c r="P9314" s="19"/>
      <c r="AL9314" s="19"/>
    </row>
    <row r="9315" spans="1:38" s="11" customFormat="1" x14ac:dyDescent="0.25">
      <c r="A9315" s="3"/>
      <c r="F9315" s="19"/>
      <c r="G9315" s="19"/>
      <c r="N9315" s="19"/>
      <c r="P9315" s="19"/>
      <c r="AL9315" s="19"/>
    </row>
    <row r="9316" spans="1:38" s="11" customFormat="1" x14ac:dyDescent="0.25">
      <c r="A9316" s="3"/>
      <c r="F9316" s="19"/>
      <c r="G9316" s="19"/>
      <c r="N9316" s="19"/>
      <c r="P9316" s="19"/>
      <c r="AL9316" s="19"/>
    </row>
    <row r="9317" spans="1:38" s="11" customFormat="1" x14ac:dyDescent="0.25">
      <c r="A9317" s="3"/>
      <c r="F9317" s="19"/>
      <c r="G9317" s="19"/>
      <c r="N9317" s="19"/>
      <c r="P9317" s="19"/>
      <c r="AL9317" s="19"/>
    </row>
    <row r="9318" spans="1:38" s="11" customFormat="1" x14ac:dyDescent="0.25">
      <c r="A9318" s="3"/>
      <c r="F9318" s="19"/>
      <c r="G9318" s="19"/>
      <c r="N9318" s="19"/>
      <c r="P9318" s="19"/>
      <c r="AL9318" s="19"/>
    </row>
    <row r="9319" spans="1:38" s="11" customFormat="1" x14ac:dyDescent="0.25">
      <c r="A9319" s="3"/>
      <c r="F9319" s="19"/>
      <c r="G9319" s="19"/>
      <c r="N9319" s="19"/>
      <c r="P9319" s="19"/>
      <c r="AL9319" s="19"/>
    </row>
    <row r="9320" spans="1:38" s="11" customFormat="1" x14ac:dyDescent="0.25">
      <c r="A9320" s="3"/>
      <c r="F9320" s="19"/>
      <c r="G9320" s="19"/>
      <c r="N9320" s="19"/>
      <c r="P9320" s="19"/>
      <c r="AL9320" s="19"/>
    </row>
    <row r="9321" spans="1:38" s="11" customFormat="1" x14ac:dyDescent="0.25">
      <c r="A9321" s="3"/>
      <c r="F9321" s="19"/>
      <c r="G9321" s="19"/>
      <c r="N9321" s="19"/>
      <c r="P9321" s="19"/>
      <c r="AL9321" s="19"/>
    </row>
    <row r="9322" spans="1:38" s="11" customFormat="1" x14ac:dyDescent="0.25">
      <c r="A9322" s="3"/>
      <c r="F9322" s="19"/>
      <c r="G9322" s="19"/>
      <c r="N9322" s="19"/>
      <c r="P9322" s="19"/>
      <c r="AL9322" s="19"/>
    </row>
    <row r="9323" spans="1:38" s="11" customFormat="1" x14ac:dyDescent="0.25">
      <c r="A9323" s="3"/>
      <c r="F9323" s="19"/>
      <c r="G9323" s="19"/>
      <c r="N9323" s="19"/>
      <c r="P9323" s="19"/>
      <c r="AL9323" s="19"/>
    </row>
    <row r="9324" spans="1:38" s="11" customFormat="1" x14ac:dyDescent="0.25">
      <c r="A9324" s="3"/>
      <c r="F9324" s="19"/>
      <c r="G9324" s="19"/>
      <c r="N9324" s="19"/>
      <c r="P9324" s="19"/>
      <c r="AL9324" s="19"/>
    </row>
    <row r="9325" spans="1:38" s="11" customFormat="1" x14ac:dyDescent="0.25">
      <c r="A9325" s="3"/>
      <c r="F9325" s="19"/>
      <c r="G9325" s="19"/>
      <c r="N9325" s="19"/>
      <c r="P9325" s="19"/>
      <c r="AL9325" s="19"/>
    </row>
    <row r="9326" spans="1:38" s="11" customFormat="1" x14ac:dyDescent="0.25">
      <c r="A9326" s="3"/>
      <c r="F9326" s="19"/>
      <c r="G9326" s="19"/>
      <c r="N9326" s="19"/>
      <c r="P9326" s="19"/>
      <c r="AL9326" s="19"/>
    </row>
    <row r="9327" spans="1:38" s="11" customFormat="1" x14ac:dyDescent="0.25">
      <c r="A9327" s="3"/>
      <c r="F9327" s="19"/>
      <c r="G9327" s="19"/>
      <c r="N9327" s="19"/>
      <c r="P9327" s="19"/>
      <c r="AL9327" s="19"/>
    </row>
    <row r="9328" spans="1:38" s="11" customFormat="1" x14ac:dyDescent="0.25">
      <c r="A9328" s="3"/>
      <c r="F9328" s="19"/>
      <c r="G9328" s="19"/>
      <c r="N9328" s="19"/>
      <c r="P9328" s="19"/>
      <c r="AL9328" s="19"/>
    </row>
    <row r="9329" spans="1:38" s="11" customFormat="1" x14ac:dyDescent="0.25">
      <c r="A9329" s="3"/>
      <c r="F9329" s="19"/>
      <c r="G9329" s="19"/>
      <c r="N9329" s="19"/>
      <c r="P9329" s="19"/>
      <c r="AL9329" s="19"/>
    </row>
    <row r="9330" spans="1:38" s="11" customFormat="1" x14ac:dyDescent="0.25">
      <c r="A9330" s="3"/>
      <c r="F9330" s="19"/>
      <c r="G9330" s="19"/>
      <c r="N9330" s="19"/>
      <c r="P9330" s="19"/>
      <c r="AL9330" s="19"/>
    </row>
    <row r="9331" spans="1:38" s="11" customFormat="1" x14ac:dyDescent="0.25">
      <c r="A9331" s="3"/>
      <c r="F9331" s="19"/>
      <c r="G9331" s="19"/>
      <c r="N9331" s="19"/>
      <c r="P9331" s="19"/>
      <c r="AL9331" s="19"/>
    </row>
    <row r="9332" spans="1:38" s="11" customFormat="1" x14ac:dyDescent="0.25">
      <c r="A9332" s="3"/>
      <c r="F9332" s="19"/>
      <c r="G9332" s="19"/>
      <c r="N9332" s="19"/>
      <c r="P9332" s="19"/>
      <c r="AL9332" s="19"/>
    </row>
    <row r="9333" spans="1:38" s="11" customFormat="1" x14ac:dyDescent="0.25">
      <c r="A9333" s="3"/>
      <c r="F9333" s="19"/>
      <c r="G9333" s="19"/>
      <c r="N9333" s="19"/>
      <c r="P9333" s="19"/>
      <c r="AL9333" s="19"/>
    </row>
    <row r="9334" spans="1:38" s="11" customFormat="1" x14ac:dyDescent="0.25">
      <c r="A9334" s="3"/>
      <c r="F9334" s="19"/>
      <c r="G9334" s="19"/>
      <c r="N9334" s="19"/>
      <c r="P9334" s="19"/>
      <c r="AL9334" s="19"/>
    </row>
    <row r="9335" spans="1:38" s="11" customFormat="1" x14ac:dyDescent="0.25">
      <c r="A9335" s="3"/>
      <c r="F9335" s="19"/>
      <c r="G9335" s="19"/>
      <c r="N9335" s="19"/>
      <c r="P9335" s="19"/>
      <c r="AL9335" s="19"/>
    </row>
    <row r="9336" spans="1:38" s="11" customFormat="1" x14ac:dyDescent="0.25">
      <c r="A9336" s="3"/>
      <c r="F9336" s="19"/>
      <c r="G9336" s="19"/>
      <c r="N9336" s="19"/>
      <c r="P9336" s="19"/>
      <c r="AL9336" s="19"/>
    </row>
    <row r="9337" spans="1:38" s="11" customFormat="1" x14ac:dyDescent="0.25">
      <c r="A9337" s="3"/>
      <c r="F9337" s="19"/>
      <c r="G9337" s="19"/>
      <c r="N9337" s="19"/>
      <c r="P9337" s="19"/>
      <c r="AL9337" s="19"/>
    </row>
    <row r="9338" spans="1:38" s="11" customFormat="1" x14ac:dyDescent="0.25">
      <c r="A9338" s="3"/>
      <c r="F9338" s="19"/>
      <c r="G9338" s="19"/>
      <c r="N9338" s="19"/>
      <c r="P9338" s="19"/>
      <c r="AL9338" s="19"/>
    </row>
    <row r="9339" spans="1:38" s="11" customFormat="1" x14ac:dyDescent="0.25">
      <c r="A9339" s="3"/>
      <c r="F9339" s="19"/>
      <c r="G9339" s="19"/>
      <c r="N9339" s="19"/>
      <c r="P9339" s="19"/>
      <c r="AL9339" s="19"/>
    </row>
    <row r="9340" spans="1:38" s="11" customFormat="1" x14ac:dyDescent="0.25">
      <c r="A9340" s="3"/>
      <c r="F9340" s="19"/>
      <c r="G9340" s="19"/>
      <c r="N9340" s="19"/>
      <c r="P9340" s="19"/>
      <c r="AL9340" s="19"/>
    </row>
    <row r="9341" spans="1:38" s="11" customFormat="1" x14ac:dyDescent="0.25">
      <c r="A9341" s="3"/>
      <c r="F9341" s="19"/>
      <c r="G9341" s="19"/>
      <c r="N9341" s="19"/>
      <c r="P9341" s="19"/>
      <c r="AL9341" s="19"/>
    </row>
    <row r="9342" spans="1:38" s="11" customFormat="1" x14ac:dyDescent="0.25">
      <c r="A9342" s="3"/>
      <c r="F9342" s="19"/>
      <c r="G9342" s="19"/>
      <c r="N9342" s="19"/>
      <c r="P9342" s="19"/>
      <c r="AL9342" s="19"/>
    </row>
    <row r="9343" spans="1:38" s="11" customFormat="1" x14ac:dyDescent="0.25">
      <c r="A9343" s="3"/>
      <c r="F9343" s="19"/>
      <c r="G9343" s="19"/>
      <c r="N9343" s="19"/>
      <c r="P9343" s="19"/>
      <c r="AL9343" s="19"/>
    </row>
    <row r="9344" spans="1:38" s="11" customFormat="1" x14ac:dyDescent="0.25">
      <c r="A9344" s="3"/>
      <c r="F9344" s="19"/>
      <c r="G9344" s="19"/>
      <c r="N9344" s="19"/>
      <c r="P9344" s="19"/>
      <c r="AL9344" s="19"/>
    </row>
    <row r="9345" spans="1:38" s="11" customFormat="1" x14ac:dyDescent="0.25">
      <c r="A9345" s="3"/>
      <c r="F9345" s="19"/>
      <c r="G9345" s="19"/>
      <c r="N9345" s="19"/>
      <c r="P9345" s="19"/>
      <c r="AL9345" s="19"/>
    </row>
    <row r="9346" spans="1:38" s="11" customFormat="1" x14ac:dyDescent="0.25">
      <c r="A9346" s="3"/>
      <c r="F9346" s="19"/>
      <c r="G9346" s="19"/>
      <c r="N9346" s="19"/>
      <c r="P9346" s="19"/>
      <c r="AL9346" s="19"/>
    </row>
    <row r="9347" spans="1:38" s="11" customFormat="1" x14ac:dyDescent="0.25">
      <c r="A9347" s="3"/>
      <c r="F9347" s="19"/>
      <c r="G9347" s="19"/>
      <c r="N9347" s="19"/>
      <c r="P9347" s="19"/>
      <c r="AL9347" s="19"/>
    </row>
    <row r="9348" spans="1:38" s="11" customFormat="1" x14ac:dyDescent="0.25">
      <c r="A9348" s="3"/>
      <c r="F9348" s="19"/>
      <c r="G9348" s="19"/>
      <c r="N9348" s="19"/>
      <c r="P9348" s="19"/>
      <c r="AL9348" s="19"/>
    </row>
    <row r="9349" spans="1:38" s="11" customFormat="1" x14ac:dyDescent="0.25">
      <c r="A9349" s="3"/>
      <c r="F9349" s="19"/>
      <c r="G9349" s="19"/>
      <c r="N9349" s="19"/>
      <c r="P9349" s="19"/>
      <c r="AL9349" s="19"/>
    </row>
    <row r="9350" spans="1:38" s="11" customFormat="1" x14ac:dyDescent="0.25">
      <c r="A9350" s="3"/>
      <c r="F9350" s="19"/>
      <c r="G9350" s="19"/>
      <c r="N9350" s="19"/>
      <c r="P9350" s="19"/>
      <c r="AL9350" s="19"/>
    </row>
    <row r="9351" spans="1:38" s="11" customFormat="1" x14ac:dyDescent="0.25">
      <c r="A9351" s="3"/>
      <c r="F9351" s="19"/>
      <c r="G9351" s="19"/>
      <c r="N9351" s="19"/>
      <c r="P9351" s="19"/>
      <c r="AL9351" s="19"/>
    </row>
    <row r="9352" spans="1:38" s="11" customFormat="1" x14ac:dyDescent="0.25">
      <c r="A9352" s="3"/>
      <c r="F9352" s="19"/>
      <c r="G9352" s="19"/>
      <c r="N9352" s="19"/>
      <c r="P9352" s="19"/>
      <c r="AL9352" s="19"/>
    </row>
    <row r="9353" spans="1:38" s="11" customFormat="1" x14ac:dyDescent="0.25">
      <c r="A9353" s="3"/>
      <c r="F9353" s="19"/>
      <c r="G9353" s="19"/>
      <c r="N9353" s="19"/>
      <c r="P9353" s="19"/>
      <c r="AL9353" s="19"/>
    </row>
    <row r="9354" spans="1:38" s="11" customFormat="1" x14ac:dyDescent="0.25">
      <c r="A9354" s="3"/>
      <c r="F9354" s="19"/>
      <c r="G9354" s="19"/>
      <c r="N9354" s="19"/>
      <c r="P9354" s="19"/>
      <c r="AL9354" s="19"/>
    </row>
    <row r="9355" spans="1:38" s="11" customFormat="1" x14ac:dyDescent="0.25">
      <c r="A9355" s="3"/>
      <c r="F9355" s="19"/>
      <c r="G9355" s="19"/>
      <c r="N9355" s="19"/>
      <c r="P9355" s="19"/>
      <c r="AL9355" s="19"/>
    </row>
    <row r="9356" spans="1:38" s="11" customFormat="1" x14ac:dyDescent="0.25">
      <c r="A9356" s="3"/>
      <c r="F9356" s="19"/>
      <c r="G9356" s="19"/>
      <c r="N9356" s="19"/>
      <c r="P9356" s="19"/>
      <c r="AL9356" s="19"/>
    </row>
    <row r="9357" spans="1:38" s="11" customFormat="1" x14ac:dyDescent="0.25">
      <c r="A9357" s="3"/>
      <c r="F9357" s="19"/>
      <c r="G9357" s="19"/>
      <c r="N9357" s="19"/>
      <c r="P9357" s="19"/>
      <c r="AL9357" s="19"/>
    </row>
    <row r="9358" spans="1:38" s="11" customFormat="1" x14ac:dyDescent="0.25">
      <c r="A9358" s="3"/>
      <c r="F9358" s="19"/>
      <c r="G9358" s="19"/>
      <c r="N9358" s="19"/>
      <c r="P9358" s="19"/>
      <c r="AL9358" s="19"/>
    </row>
    <row r="9359" spans="1:38" s="11" customFormat="1" x14ac:dyDescent="0.25">
      <c r="A9359" s="3"/>
      <c r="F9359" s="19"/>
      <c r="G9359" s="19"/>
      <c r="N9359" s="19"/>
      <c r="P9359" s="19"/>
      <c r="AL9359" s="19"/>
    </row>
    <row r="9360" spans="1:38" s="11" customFormat="1" x14ac:dyDescent="0.25">
      <c r="A9360" s="3"/>
      <c r="F9360" s="19"/>
      <c r="G9360" s="19"/>
      <c r="N9360" s="19"/>
      <c r="P9360" s="19"/>
      <c r="AL9360" s="19"/>
    </row>
    <row r="9361" spans="1:38" s="11" customFormat="1" x14ac:dyDescent="0.25">
      <c r="A9361" s="3"/>
      <c r="F9361" s="19"/>
      <c r="G9361" s="19"/>
      <c r="N9361" s="19"/>
      <c r="P9361" s="19"/>
      <c r="AL9361" s="19"/>
    </row>
    <row r="9362" spans="1:38" s="11" customFormat="1" x14ac:dyDescent="0.25">
      <c r="A9362" s="3"/>
      <c r="F9362" s="19"/>
      <c r="G9362" s="19"/>
      <c r="N9362" s="19"/>
      <c r="P9362" s="19"/>
      <c r="AL9362" s="19"/>
    </row>
    <row r="9363" spans="1:38" s="11" customFormat="1" x14ac:dyDescent="0.25">
      <c r="A9363" s="3"/>
      <c r="F9363" s="19"/>
      <c r="G9363" s="19"/>
      <c r="N9363" s="19"/>
      <c r="P9363" s="19"/>
      <c r="AL9363" s="19"/>
    </row>
    <row r="9364" spans="1:38" s="11" customFormat="1" x14ac:dyDescent="0.25">
      <c r="A9364" s="3"/>
      <c r="F9364" s="19"/>
      <c r="G9364" s="19"/>
      <c r="N9364" s="19"/>
      <c r="P9364" s="19"/>
      <c r="AL9364" s="19"/>
    </row>
    <row r="9365" spans="1:38" s="11" customFormat="1" x14ac:dyDescent="0.25">
      <c r="A9365" s="3"/>
      <c r="F9365" s="19"/>
      <c r="G9365" s="19"/>
      <c r="N9365" s="19"/>
      <c r="P9365" s="19"/>
      <c r="AL9365" s="19"/>
    </row>
    <row r="9366" spans="1:38" s="11" customFormat="1" x14ac:dyDescent="0.25">
      <c r="A9366" s="3"/>
      <c r="F9366" s="19"/>
      <c r="G9366" s="19"/>
      <c r="N9366" s="19"/>
      <c r="P9366" s="19"/>
      <c r="AL9366" s="19"/>
    </row>
    <row r="9367" spans="1:38" s="11" customFormat="1" x14ac:dyDescent="0.25">
      <c r="A9367" s="3"/>
      <c r="F9367" s="19"/>
      <c r="G9367" s="19"/>
      <c r="N9367" s="19"/>
      <c r="P9367" s="19"/>
      <c r="AL9367" s="19"/>
    </row>
    <row r="9368" spans="1:38" s="11" customFormat="1" x14ac:dyDescent="0.25">
      <c r="A9368" s="3"/>
      <c r="F9368" s="19"/>
      <c r="G9368" s="19"/>
      <c r="N9368" s="19"/>
      <c r="P9368" s="19"/>
      <c r="AL9368" s="19"/>
    </row>
    <row r="9369" spans="1:38" s="11" customFormat="1" x14ac:dyDescent="0.25">
      <c r="A9369" s="3"/>
      <c r="F9369" s="19"/>
      <c r="G9369" s="19"/>
      <c r="N9369" s="19"/>
      <c r="P9369" s="19"/>
      <c r="AL9369" s="19"/>
    </row>
    <row r="9370" spans="1:38" s="11" customFormat="1" x14ac:dyDescent="0.25">
      <c r="A9370" s="3"/>
      <c r="F9370" s="19"/>
      <c r="G9370" s="19"/>
      <c r="N9370" s="19"/>
      <c r="P9370" s="19"/>
      <c r="AL9370" s="19"/>
    </row>
    <row r="9371" spans="1:38" s="11" customFormat="1" x14ac:dyDescent="0.25">
      <c r="A9371" s="3"/>
      <c r="F9371" s="19"/>
      <c r="G9371" s="19"/>
      <c r="N9371" s="19"/>
      <c r="P9371" s="19"/>
      <c r="AL9371" s="19"/>
    </row>
    <row r="9372" spans="1:38" s="11" customFormat="1" x14ac:dyDescent="0.25">
      <c r="A9372" s="3"/>
      <c r="F9372" s="19"/>
      <c r="G9372" s="19"/>
      <c r="N9372" s="19"/>
      <c r="P9372" s="19"/>
      <c r="AL9372" s="19"/>
    </row>
    <row r="9373" spans="1:38" s="11" customFormat="1" x14ac:dyDescent="0.25">
      <c r="A9373" s="3"/>
      <c r="F9373" s="19"/>
      <c r="G9373" s="19"/>
      <c r="N9373" s="19"/>
      <c r="P9373" s="19"/>
      <c r="AL9373" s="19"/>
    </row>
    <row r="9374" spans="1:38" s="11" customFormat="1" x14ac:dyDescent="0.25">
      <c r="A9374" s="3"/>
      <c r="F9374" s="19"/>
      <c r="G9374" s="19"/>
      <c r="N9374" s="19"/>
      <c r="P9374" s="19"/>
      <c r="AL9374" s="19"/>
    </row>
    <row r="9375" spans="1:38" s="11" customFormat="1" x14ac:dyDescent="0.25">
      <c r="A9375" s="3"/>
      <c r="F9375" s="19"/>
      <c r="G9375" s="19"/>
      <c r="N9375" s="19"/>
      <c r="P9375" s="19"/>
      <c r="AL9375" s="19"/>
    </row>
    <row r="9376" spans="1:38" s="11" customFormat="1" x14ac:dyDescent="0.25">
      <c r="A9376" s="3"/>
      <c r="F9376" s="19"/>
      <c r="G9376" s="19"/>
      <c r="N9376" s="19"/>
      <c r="P9376" s="19"/>
      <c r="AL9376" s="19"/>
    </row>
    <row r="9377" spans="1:38" s="11" customFormat="1" x14ac:dyDescent="0.25">
      <c r="A9377" s="3"/>
      <c r="F9377" s="19"/>
      <c r="G9377" s="19"/>
      <c r="N9377" s="19"/>
      <c r="P9377" s="19"/>
      <c r="AL9377" s="19"/>
    </row>
    <row r="9378" spans="1:38" s="11" customFormat="1" x14ac:dyDescent="0.25">
      <c r="A9378" s="3"/>
      <c r="F9378" s="19"/>
      <c r="G9378" s="19"/>
      <c r="N9378" s="19"/>
      <c r="P9378" s="19"/>
      <c r="AL9378" s="19"/>
    </row>
    <row r="9379" spans="1:38" s="11" customFormat="1" x14ac:dyDescent="0.25">
      <c r="A9379" s="3"/>
      <c r="F9379" s="19"/>
      <c r="G9379" s="19"/>
      <c r="N9379" s="19"/>
      <c r="P9379" s="19"/>
      <c r="AL9379" s="19"/>
    </row>
    <row r="9380" spans="1:38" s="11" customFormat="1" x14ac:dyDescent="0.25">
      <c r="A9380" s="3"/>
      <c r="F9380" s="19"/>
      <c r="G9380" s="19"/>
      <c r="N9380" s="19"/>
      <c r="P9380" s="19"/>
      <c r="AL9380" s="19"/>
    </row>
    <row r="9381" spans="1:38" s="11" customFormat="1" x14ac:dyDescent="0.25">
      <c r="A9381" s="3"/>
      <c r="F9381" s="19"/>
      <c r="G9381" s="19"/>
      <c r="N9381" s="19"/>
      <c r="P9381" s="19"/>
      <c r="AL9381" s="19"/>
    </row>
    <row r="9382" spans="1:38" s="11" customFormat="1" x14ac:dyDescent="0.25">
      <c r="A9382" s="3"/>
      <c r="F9382" s="19"/>
      <c r="G9382" s="19"/>
      <c r="N9382" s="19"/>
      <c r="P9382" s="19"/>
      <c r="AL9382" s="19"/>
    </row>
    <row r="9383" spans="1:38" s="11" customFormat="1" x14ac:dyDescent="0.25">
      <c r="A9383" s="3"/>
      <c r="F9383" s="19"/>
      <c r="G9383" s="19"/>
      <c r="N9383" s="19"/>
      <c r="P9383" s="19"/>
      <c r="AL9383" s="19"/>
    </row>
    <row r="9384" spans="1:38" s="11" customFormat="1" x14ac:dyDescent="0.25">
      <c r="A9384" s="3"/>
      <c r="F9384" s="19"/>
      <c r="G9384" s="19"/>
      <c r="N9384" s="19"/>
      <c r="P9384" s="19"/>
      <c r="AL9384" s="19"/>
    </row>
    <row r="9385" spans="1:38" s="11" customFormat="1" x14ac:dyDescent="0.25">
      <c r="A9385" s="3"/>
      <c r="F9385" s="19"/>
      <c r="G9385" s="19"/>
      <c r="N9385" s="19"/>
      <c r="P9385" s="19"/>
      <c r="AL9385" s="19"/>
    </row>
    <row r="9386" spans="1:38" s="11" customFormat="1" x14ac:dyDescent="0.25">
      <c r="A9386" s="3"/>
      <c r="F9386" s="19"/>
      <c r="G9386" s="19"/>
      <c r="N9386" s="19"/>
      <c r="P9386" s="19"/>
      <c r="AL9386" s="19"/>
    </row>
    <row r="9387" spans="1:38" s="11" customFormat="1" x14ac:dyDescent="0.25">
      <c r="A9387" s="3"/>
      <c r="F9387" s="19"/>
      <c r="G9387" s="19"/>
      <c r="N9387" s="19"/>
      <c r="P9387" s="19"/>
      <c r="AL9387" s="19"/>
    </row>
    <row r="9388" spans="1:38" s="11" customFormat="1" x14ac:dyDescent="0.25">
      <c r="A9388" s="3"/>
      <c r="F9388" s="19"/>
      <c r="G9388" s="19"/>
      <c r="N9388" s="19"/>
      <c r="P9388" s="19"/>
      <c r="AL9388" s="19"/>
    </row>
    <row r="9389" spans="1:38" s="11" customFormat="1" x14ac:dyDescent="0.25">
      <c r="A9389" s="3"/>
      <c r="F9389" s="19"/>
      <c r="G9389" s="19"/>
      <c r="N9389" s="19"/>
      <c r="P9389" s="19"/>
      <c r="AL9389" s="19"/>
    </row>
    <row r="9390" spans="1:38" s="11" customFormat="1" x14ac:dyDescent="0.25">
      <c r="A9390" s="3"/>
      <c r="F9390" s="19"/>
      <c r="G9390" s="19"/>
      <c r="N9390" s="19"/>
      <c r="P9390" s="19"/>
      <c r="AL9390" s="19"/>
    </row>
    <row r="9391" spans="1:38" s="11" customFormat="1" x14ac:dyDescent="0.25">
      <c r="A9391" s="3"/>
      <c r="F9391" s="19"/>
      <c r="G9391" s="19"/>
      <c r="N9391" s="19"/>
      <c r="P9391" s="19"/>
      <c r="AL9391" s="19"/>
    </row>
    <row r="9392" spans="1:38" s="11" customFormat="1" x14ac:dyDescent="0.25">
      <c r="A9392" s="3"/>
      <c r="F9392" s="19"/>
      <c r="G9392" s="19"/>
      <c r="N9392" s="19"/>
      <c r="P9392" s="19"/>
      <c r="AL9392" s="19"/>
    </row>
    <row r="9393" spans="1:38" s="11" customFormat="1" x14ac:dyDescent="0.25">
      <c r="A9393" s="3"/>
      <c r="F9393" s="19"/>
      <c r="G9393" s="19"/>
      <c r="N9393" s="19"/>
      <c r="P9393" s="19"/>
      <c r="AL9393" s="19"/>
    </row>
    <row r="9394" spans="1:38" s="11" customFormat="1" x14ac:dyDescent="0.25">
      <c r="A9394" s="3"/>
      <c r="F9394" s="19"/>
      <c r="G9394" s="19"/>
      <c r="N9394" s="19"/>
      <c r="P9394" s="19"/>
      <c r="AL9394" s="19"/>
    </row>
    <row r="9395" spans="1:38" s="11" customFormat="1" x14ac:dyDescent="0.25">
      <c r="A9395" s="3"/>
      <c r="F9395" s="19"/>
      <c r="G9395" s="19"/>
      <c r="N9395" s="19"/>
      <c r="P9395" s="19"/>
      <c r="AL9395" s="19"/>
    </row>
    <row r="9396" spans="1:38" s="11" customFormat="1" x14ac:dyDescent="0.25">
      <c r="A9396" s="3"/>
      <c r="F9396" s="19"/>
      <c r="G9396" s="19"/>
      <c r="N9396" s="19"/>
      <c r="P9396" s="19"/>
      <c r="AL9396" s="19"/>
    </row>
    <row r="9397" spans="1:38" s="11" customFormat="1" x14ac:dyDescent="0.25">
      <c r="A9397" s="3"/>
      <c r="F9397" s="19"/>
      <c r="G9397" s="19"/>
      <c r="N9397" s="19"/>
      <c r="P9397" s="19"/>
      <c r="AL9397" s="19"/>
    </row>
    <row r="9398" spans="1:38" s="11" customFormat="1" x14ac:dyDescent="0.25">
      <c r="A9398" s="3"/>
      <c r="F9398" s="19"/>
      <c r="G9398" s="19"/>
      <c r="N9398" s="19"/>
      <c r="P9398" s="19"/>
      <c r="AL9398" s="19"/>
    </row>
    <row r="9399" spans="1:38" s="11" customFormat="1" x14ac:dyDescent="0.25">
      <c r="A9399" s="3"/>
      <c r="F9399" s="19"/>
      <c r="G9399" s="19"/>
      <c r="N9399" s="19"/>
      <c r="P9399" s="19"/>
      <c r="AL9399" s="19"/>
    </row>
    <row r="9400" spans="1:38" s="11" customFormat="1" x14ac:dyDescent="0.25">
      <c r="A9400" s="3"/>
      <c r="F9400" s="19"/>
      <c r="G9400" s="19"/>
      <c r="N9400" s="19"/>
      <c r="P9400" s="19"/>
      <c r="AL9400" s="19"/>
    </row>
    <row r="9401" spans="1:38" s="11" customFormat="1" x14ac:dyDescent="0.25">
      <c r="A9401" s="3"/>
      <c r="F9401" s="19"/>
      <c r="G9401" s="19"/>
      <c r="N9401" s="19"/>
      <c r="P9401" s="19"/>
      <c r="AL9401" s="19"/>
    </row>
    <row r="9402" spans="1:38" s="11" customFormat="1" x14ac:dyDescent="0.25">
      <c r="A9402" s="3"/>
      <c r="F9402" s="19"/>
      <c r="G9402" s="19"/>
      <c r="N9402" s="19"/>
      <c r="P9402" s="19"/>
      <c r="AL9402" s="19"/>
    </row>
    <row r="9403" spans="1:38" s="11" customFormat="1" x14ac:dyDescent="0.25">
      <c r="A9403" s="3"/>
      <c r="F9403" s="19"/>
      <c r="G9403" s="19"/>
      <c r="N9403" s="19"/>
      <c r="P9403" s="19"/>
      <c r="AL9403" s="19"/>
    </row>
    <row r="9404" spans="1:38" s="11" customFormat="1" x14ac:dyDescent="0.25">
      <c r="A9404" s="3"/>
      <c r="F9404" s="19"/>
      <c r="G9404" s="19"/>
      <c r="N9404" s="19"/>
      <c r="P9404" s="19"/>
      <c r="AL9404" s="19"/>
    </row>
    <row r="9405" spans="1:38" s="11" customFormat="1" x14ac:dyDescent="0.25">
      <c r="A9405" s="3"/>
      <c r="F9405" s="19"/>
      <c r="G9405" s="19"/>
      <c r="N9405" s="19"/>
      <c r="P9405" s="19"/>
      <c r="AL9405" s="19"/>
    </row>
    <row r="9406" spans="1:38" s="11" customFormat="1" x14ac:dyDescent="0.25">
      <c r="A9406" s="3"/>
      <c r="F9406" s="19"/>
      <c r="G9406" s="19"/>
      <c r="N9406" s="19"/>
      <c r="P9406" s="19"/>
      <c r="AL9406" s="19"/>
    </row>
    <row r="9407" spans="1:38" s="11" customFormat="1" x14ac:dyDescent="0.25">
      <c r="A9407" s="3"/>
      <c r="F9407" s="19"/>
      <c r="G9407" s="19"/>
      <c r="N9407" s="19"/>
      <c r="P9407" s="19"/>
      <c r="AL9407" s="19"/>
    </row>
    <row r="9408" spans="1:38" s="11" customFormat="1" x14ac:dyDescent="0.25">
      <c r="A9408" s="3"/>
      <c r="F9408" s="19"/>
      <c r="G9408" s="19"/>
      <c r="N9408" s="19"/>
      <c r="P9408" s="19"/>
      <c r="AL9408" s="19"/>
    </row>
    <row r="9409" spans="1:38" s="11" customFormat="1" x14ac:dyDescent="0.25">
      <c r="A9409" s="3"/>
      <c r="F9409" s="19"/>
      <c r="G9409" s="19"/>
      <c r="N9409" s="19"/>
      <c r="P9409" s="19"/>
      <c r="AL9409" s="19"/>
    </row>
    <row r="9410" spans="1:38" s="11" customFormat="1" x14ac:dyDescent="0.25">
      <c r="A9410" s="3"/>
      <c r="F9410" s="19"/>
      <c r="G9410" s="19"/>
      <c r="N9410" s="19"/>
      <c r="P9410" s="19"/>
      <c r="AL9410" s="19"/>
    </row>
    <row r="9411" spans="1:38" s="11" customFormat="1" x14ac:dyDescent="0.25">
      <c r="A9411" s="3"/>
      <c r="F9411" s="19"/>
      <c r="G9411" s="19"/>
      <c r="N9411" s="19"/>
      <c r="P9411" s="19"/>
      <c r="AL9411" s="19"/>
    </row>
    <row r="9412" spans="1:38" s="11" customFormat="1" x14ac:dyDescent="0.25">
      <c r="A9412" s="3"/>
      <c r="F9412" s="19"/>
      <c r="G9412" s="19"/>
      <c r="N9412" s="19"/>
      <c r="P9412" s="19"/>
      <c r="AL9412" s="19"/>
    </row>
    <row r="9413" spans="1:38" s="11" customFormat="1" x14ac:dyDescent="0.25">
      <c r="A9413" s="3"/>
      <c r="F9413" s="19"/>
      <c r="G9413" s="19"/>
      <c r="N9413" s="19"/>
      <c r="P9413" s="19"/>
      <c r="AL9413" s="19"/>
    </row>
    <row r="9414" spans="1:38" s="11" customFormat="1" x14ac:dyDescent="0.25">
      <c r="A9414" s="3"/>
      <c r="F9414" s="19"/>
      <c r="G9414" s="19"/>
      <c r="N9414" s="19"/>
      <c r="P9414" s="19"/>
      <c r="AL9414" s="19"/>
    </row>
    <row r="9415" spans="1:38" s="11" customFormat="1" x14ac:dyDescent="0.25">
      <c r="A9415" s="3"/>
      <c r="F9415" s="19"/>
      <c r="G9415" s="19"/>
      <c r="N9415" s="19"/>
      <c r="P9415" s="19"/>
      <c r="AL9415" s="19"/>
    </row>
    <row r="9416" spans="1:38" s="11" customFormat="1" x14ac:dyDescent="0.25">
      <c r="A9416" s="3"/>
      <c r="F9416" s="19"/>
      <c r="G9416" s="19"/>
      <c r="N9416" s="19"/>
      <c r="P9416" s="19"/>
      <c r="AL9416" s="19"/>
    </row>
    <row r="9417" spans="1:38" s="11" customFormat="1" x14ac:dyDescent="0.25">
      <c r="A9417" s="3"/>
      <c r="F9417" s="19"/>
      <c r="G9417" s="19"/>
      <c r="N9417" s="19"/>
      <c r="P9417" s="19"/>
      <c r="AL9417" s="19"/>
    </row>
    <row r="9418" spans="1:38" s="11" customFormat="1" x14ac:dyDescent="0.25">
      <c r="A9418" s="3"/>
      <c r="F9418" s="19"/>
      <c r="G9418" s="19"/>
      <c r="N9418" s="19"/>
      <c r="P9418" s="19"/>
      <c r="AL9418" s="19"/>
    </row>
    <row r="9419" spans="1:38" s="11" customFormat="1" x14ac:dyDescent="0.25">
      <c r="A9419" s="3"/>
      <c r="F9419" s="19"/>
      <c r="G9419" s="19"/>
      <c r="N9419" s="19"/>
      <c r="P9419" s="19"/>
      <c r="AL9419" s="19"/>
    </row>
    <row r="9420" spans="1:38" s="11" customFormat="1" x14ac:dyDescent="0.25">
      <c r="A9420" s="3"/>
      <c r="F9420" s="19"/>
      <c r="G9420" s="19"/>
      <c r="N9420" s="19"/>
      <c r="P9420" s="19"/>
      <c r="AL9420" s="19"/>
    </row>
    <row r="9421" spans="1:38" s="11" customFormat="1" x14ac:dyDescent="0.25">
      <c r="A9421" s="3"/>
      <c r="F9421" s="19"/>
      <c r="G9421" s="19"/>
      <c r="N9421" s="19"/>
      <c r="P9421" s="19"/>
      <c r="AL9421" s="19"/>
    </row>
    <row r="9422" spans="1:38" s="11" customFormat="1" x14ac:dyDescent="0.25">
      <c r="A9422" s="3"/>
      <c r="F9422" s="19"/>
      <c r="G9422" s="19"/>
      <c r="N9422" s="19"/>
      <c r="P9422" s="19"/>
      <c r="AL9422" s="19"/>
    </row>
    <row r="9423" spans="1:38" s="11" customFormat="1" x14ac:dyDescent="0.25">
      <c r="A9423" s="3"/>
      <c r="F9423" s="19"/>
      <c r="G9423" s="19"/>
      <c r="N9423" s="19"/>
      <c r="P9423" s="19"/>
      <c r="AL9423" s="19"/>
    </row>
    <row r="9424" spans="1:38" s="11" customFormat="1" x14ac:dyDescent="0.25">
      <c r="A9424" s="3"/>
      <c r="F9424" s="19"/>
      <c r="G9424" s="19"/>
      <c r="N9424" s="19"/>
      <c r="P9424" s="19"/>
      <c r="AL9424" s="19"/>
    </row>
    <row r="9425" spans="1:38" s="11" customFormat="1" x14ac:dyDescent="0.25">
      <c r="A9425" s="3"/>
      <c r="F9425" s="19"/>
      <c r="G9425" s="19"/>
      <c r="N9425" s="19"/>
      <c r="P9425" s="19"/>
      <c r="AL9425" s="19"/>
    </row>
    <row r="9426" spans="1:38" s="11" customFormat="1" x14ac:dyDescent="0.25">
      <c r="A9426" s="3"/>
      <c r="F9426" s="19"/>
      <c r="G9426" s="19"/>
      <c r="N9426" s="19"/>
      <c r="P9426" s="19"/>
      <c r="AL9426" s="19"/>
    </row>
    <row r="9427" spans="1:38" s="11" customFormat="1" x14ac:dyDescent="0.25">
      <c r="A9427" s="3"/>
      <c r="F9427" s="19"/>
      <c r="G9427" s="19"/>
      <c r="N9427" s="19"/>
      <c r="P9427" s="19"/>
      <c r="AL9427" s="19"/>
    </row>
    <row r="9428" spans="1:38" s="11" customFormat="1" x14ac:dyDescent="0.25">
      <c r="A9428" s="3"/>
      <c r="F9428" s="19"/>
      <c r="G9428" s="19"/>
      <c r="N9428" s="19"/>
      <c r="P9428" s="19"/>
      <c r="AL9428" s="19"/>
    </row>
    <row r="9429" spans="1:38" s="11" customFormat="1" x14ac:dyDescent="0.25">
      <c r="A9429" s="3"/>
      <c r="F9429" s="19"/>
      <c r="G9429" s="19"/>
      <c r="N9429" s="19"/>
      <c r="P9429" s="19"/>
      <c r="AL9429" s="19"/>
    </row>
    <row r="9430" spans="1:38" s="11" customFormat="1" x14ac:dyDescent="0.25">
      <c r="A9430" s="3"/>
      <c r="F9430" s="19"/>
      <c r="G9430" s="19"/>
      <c r="N9430" s="19"/>
      <c r="P9430" s="19"/>
      <c r="AL9430" s="19"/>
    </row>
    <row r="9431" spans="1:38" s="11" customFormat="1" x14ac:dyDescent="0.25">
      <c r="A9431" s="3"/>
      <c r="F9431" s="19"/>
      <c r="G9431" s="19"/>
      <c r="N9431" s="19"/>
      <c r="P9431" s="19"/>
      <c r="AL9431" s="19"/>
    </row>
    <row r="9432" spans="1:38" s="11" customFormat="1" x14ac:dyDescent="0.25">
      <c r="A9432" s="3"/>
      <c r="F9432" s="19"/>
      <c r="G9432" s="19"/>
      <c r="N9432" s="19"/>
      <c r="P9432" s="19"/>
      <c r="AL9432" s="19"/>
    </row>
    <row r="9433" spans="1:38" s="11" customFormat="1" x14ac:dyDescent="0.25">
      <c r="A9433" s="3"/>
      <c r="F9433" s="19"/>
      <c r="G9433" s="19"/>
      <c r="N9433" s="19"/>
      <c r="P9433" s="19"/>
      <c r="AL9433" s="19"/>
    </row>
    <row r="9434" spans="1:38" s="11" customFormat="1" x14ac:dyDescent="0.25">
      <c r="A9434" s="3"/>
      <c r="F9434" s="19"/>
      <c r="G9434" s="19"/>
      <c r="N9434" s="19"/>
      <c r="P9434" s="19"/>
      <c r="AL9434" s="19"/>
    </row>
    <row r="9435" spans="1:38" s="11" customFormat="1" x14ac:dyDescent="0.25">
      <c r="A9435" s="3"/>
      <c r="F9435" s="19"/>
      <c r="G9435" s="19"/>
      <c r="N9435" s="19"/>
      <c r="P9435" s="19"/>
      <c r="AL9435" s="19"/>
    </row>
    <row r="9436" spans="1:38" s="11" customFormat="1" x14ac:dyDescent="0.25">
      <c r="A9436" s="3"/>
      <c r="F9436" s="19"/>
      <c r="G9436" s="19"/>
      <c r="N9436" s="19"/>
      <c r="P9436" s="19"/>
      <c r="AL9436" s="19"/>
    </row>
    <row r="9437" spans="1:38" s="11" customFormat="1" x14ac:dyDescent="0.25">
      <c r="A9437" s="3"/>
      <c r="F9437" s="19"/>
      <c r="G9437" s="19"/>
      <c r="N9437" s="19"/>
      <c r="P9437" s="19"/>
      <c r="AL9437" s="19"/>
    </row>
    <row r="9438" spans="1:38" s="11" customFormat="1" x14ac:dyDescent="0.25">
      <c r="A9438" s="3"/>
      <c r="F9438" s="19"/>
      <c r="G9438" s="19"/>
      <c r="N9438" s="19"/>
      <c r="P9438" s="19"/>
      <c r="AL9438" s="19"/>
    </row>
    <row r="9439" spans="1:38" s="11" customFormat="1" x14ac:dyDescent="0.25">
      <c r="A9439" s="3"/>
      <c r="F9439" s="19"/>
      <c r="G9439" s="19"/>
      <c r="N9439" s="19"/>
      <c r="P9439" s="19"/>
      <c r="AL9439" s="19"/>
    </row>
    <row r="9440" spans="1:38" s="11" customFormat="1" x14ac:dyDescent="0.25">
      <c r="A9440" s="3"/>
      <c r="F9440" s="19"/>
      <c r="G9440" s="19"/>
      <c r="N9440" s="19"/>
      <c r="P9440" s="19"/>
      <c r="AL9440" s="19"/>
    </row>
    <row r="9441" spans="1:38" s="11" customFormat="1" x14ac:dyDescent="0.25">
      <c r="A9441" s="3"/>
      <c r="F9441" s="19"/>
      <c r="G9441" s="19"/>
      <c r="N9441" s="19"/>
      <c r="P9441" s="19"/>
      <c r="AL9441" s="19"/>
    </row>
    <row r="9442" spans="1:38" s="11" customFormat="1" x14ac:dyDescent="0.25">
      <c r="A9442" s="3"/>
      <c r="F9442" s="19"/>
      <c r="G9442" s="19"/>
      <c r="N9442" s="19"/>
      <c r="P9442" s="19"/>
      <c r="AL9442" s="19"/>
    </row>
    <row r="9443" spans="1:38" s="11" customFormat="1" x14ac:dyDescent="0.25">
      <c r="A9443" s="3"/>
      <c r="F9443" s="19"/>
      <c r="G9443" s="19"/>
      <c r="N9443" s="19"/>
      <c r="P9443" s="19"/>
      <c r="AL9443" s="19"/>
    </row>
    <row r="9444" spans="1:38" s="11" customFormat="1" x14ac:dyDescent="0.25">
      <c r="A9444" s="3"/>
      <c r="F9444" s="19"/>
      <c r="G9444" s="19"/>
      <c r="N9444" s="19"/>
      <c r="P9444" s="19"/>
      <c r="AL9444" s="19"/>
    </row>
    <row r="9445" spans="1:38" s="11" customFormat="1" x14ac:dyDescent="0.25">
      <c r="A9445" s="3"/>
      <c r="F9445" s="19"/>
      <c r="G9445" s="19"/>
      <c r="N9445" s="19"/>
      <c r="P9445" s="19"/>
      <c r="AL9445" s="19"/>
    </row>
    <row r="9446" spans="1:38" s="11" customFormat="1" x14ac:dyDescent="0.25">
      <c r="A9446" s="3"/>
      <c r="F9446" s="19"/>
      <c r="G9446" s="19"/>
      <c r="N9446" s="19"/>
      <c r="P9446" s="19"/>
      <c r="AL9446" s="19"/>
    </row>
    <row r="9447" spans="1:38" s="11" customFormat="1" x14ac:dyDescent="0.25">
      <c r="A9447" s="3"/>
      <c r="F9447" s="19"/>
      <c r="G9447" s="19"/>
      <c r="N9447" s="19"/>
      <c r="P9447" s="19"/>
      <c r="AL9447" s="19"/>
    </row>
    <row r="9448" spans="1:38" s="11" customFormat="1" x14ac:dyDescent="0.25">
      <c r="A9448" s="3"/>
      <c r="F9448" s="19"/>
      <c r="G9448" s="19"/>
      <c r="N9448" s="19"/>
      <c r="P9448" s="19"/>
      <c r="AL9448" s="19"/>
    </row>
    <row r="9449" spans="1:38" s="11" customFormat="1" x14ac:dyDescent="0.25">
      <c r="A9449" s="3"/>
      <c r="F9449" s="19"/>
      <c r="G9449" s="19"/>
      <c r="N9449" s="19"/>
      <c r="P9449" s="19"/>
      <c r="AL9449" s="19"/>
    </row>
    <row r="9450" spans="1:38" s="11" customFormat="1" x14ac:dyDescent="0.25">
      <c r="A9450" s="3"/>
      <c r="F9450" s="19"/>
      <c r="G9450" s="19"/>
      <c r="N9450" s="19"/>
      <c r="P9450" s="19"/>
      <c r="AL9450" s="19"/>
    </row>
    <row r="9451" spans="1:38" s="11" customFormat="1" x14ac:dyDescent="0.25">
      <c r="A9451" s="3"/>
      <c r="F9451" s="19"/>
      <c r="G9451" s="19"/>
      <c r="N9451" s="19"/>
      <c r="P9451" s="19"/>
      <c r="AL9451" s="19"/>
    </row>
    <row r="9452" spans="1:38" s="11" customFormat="1" x14ac:dyDescent="0.25">
      <c r="A9452" s="3"/>
      <c r="F9452" s="19"/>
      <c r="G9452" s="19"/>
      <c r="N9452" s="19"/>
      <c r="P9452" s="19"/>
      <c r="AL9452" s="19"/>
    </row>
    <row r="9453" spans="1:38" s="11" customFormat="1" x14ac:dyDescent="0.25">
      <c r="A9453" s="3"/>
      <c r="F9453" s="19"/>
      <c r="G9453" s="19"/>
      <c r="N9453" s="19"/>
      <c r="P9453" s="19"/>
      <c r="AL9453" s="19"/>
    </row>
    <row r="9454" spans="1:38" s="11" customFormat="1" x14ac:dyDescent="0.25">
      <c r="A9454" s="3"/>
      <c r="F9454" s="19"/>
      <c r="G9454" s="19"/>
      <c r="N9454" s="19"/>
      <c r="P9454" s="19"/>
      <c r="AL9454" s="19"/>
    </row>
    <row r="9455" spans="1:38" s="11" customFormat="1" x14ac:dyDescent="0.25">
      <c r="A9455" s="3"/>
      <c r="F9455" s="19"/>
      <c r="G9455" s="19"/>
      <c r="N9455" s="19"/>
      <c r="P9455" s="19"/>
      <c r="AL9455" s="19"/>
    </row>
    <row r="9456" spans="1:38" s="11" customFormat="1" x14ac:dyDescent="0.25">
      <c r="A9456" s="3"/>
      <c r="F9456" s="19"/>
      <c r="G9456" s="19"/>
      <c r="N9456" s="19"/>
      <c r="P9456" s="19"/>
      <c r="AL9456" s="19"/>
    </row>
    <row r="9457" spans="1:38" s="11" customFormat="1" x14ac:dyDescent="0.25">
      <c r="A9457" s="3"/>
      <c r="F9457" s="19"/>
      <c r="G9457" s="19"/>
      <c r="N9457" s="19"/>
      <c r="P9457" s="19"/>
      <c r="AL9457" s="19"/>
    </row>
    <row r="9458" spans="1:38" s="11" customFormat="1" x14ac:dyDescent="0.25">
      <c r="A9458" s="3"/>
      <c r="F9458" s="19"/>
      <c r="G9458" s="19"/>
      <c r="N9458" s="19"/>
      <c r="P9458" s="19"/>
      <c r="AL9458" s="19"/>
    </row>
    <row r="9459" spans="1:38" s="11" customFormat="1" x14ac:dyDescent="0.25">
      <c r="A9459" s="3"/>
      <c r="F9459" s="19"/>
      <c r="G9459" s="19"/>
      <c r="N9459" s="19"/>
      <c r="P9459" s="19"/>
      <c r="AL9459" s="19"/>
    </row>
    <row r="9460" spans="1:38" s="11" customFormat="1" x14ac:dyDescent="0.25">
      <c r="A9460" s="3"/>
      <c r="F9460" s="19"/>
      <c r="G9460" s="19"/>
      <c r="N9460" s="19"/>
      <c r="P9460" s="19"/>
      <c r="AL9460" s="19"/>
    </row>
    <row r="9461" spans="1:38" s="11" customFormat="1" x14ac:dyDescent="0.25">
      <c r="A9461" s="3"/>
      <c r="F9461" s="19"/>
      <c r="G9461" s="19"/>
      <c r="N9461" s="19"/>
      <c r="P9461" s="19"/>
      <c r="AL9461" s="19"/>
    </row>
    <row r="9462" spans="1:38" s="11" customFormat="1" x14ac:dyDescent="0.25">
      <c r="A9462" s="3"/>
      <c r="F9462" s="19"/>
      <c r="G9462" s="19"/>
      <c r="N9462" s="19"/>
      <c r="P9462" s="19"/>
      <c r="AL9462" s="19"/>
    </row>
    <row r="9463" spans="1:38" s="11" customFormat="1" x14ac:dyDescent="0.25">
      <c r="A9463" s="3"/>
      <c r="F9463" s="19"/>
      <c r="G9463" s="19"/>
      <c r="N9463" s="19"/>
      <c r="P9463" s="19"/>
      <c r="AL9463" s="19"/>
    </row>
    <row r="9464" spans="1:38" s="11" customFormat="1" x14ac:dyDescent="0.25">
      <c r="A9464" s="3"/>
      <c r="F9464" s="19"/>
      <c r="G9464" s="19"/>
      <c r="N9464" s="19"/>
      <c r="P9464" s="19"/>
      <c r="AL9464" s="19"/>
    </row>
    <row r="9465" spans="1:38" s="11" customFormat="1" x14ac:dyDescent="0.25">
      <c r="A9465" s="3"/>
      <c r="F9465" s="19"/>
      <c r="G9465" s="19"/>
      <c r="N9465" s="19"/>
      <c r="P9465" s="19"/>
      <c r="AL9465" s="19"/>
    </row>
    <row r="9466" spans="1:38" s="11" customFormat="1" x14ac:dyDescent="0.25">
      <c r="A9466" s="3"/>
      <c r="F9466" s="19"/>
      <c r="G9466" s="19"/>
      <c r="N9466" s="19"/>
      <c r="P9466" s="19"/>
      <c r="AL9466" s="19"/>
    </row>
    <row r="9467" spans="1:38" s="11" customFormat="1" x14ac:dyDescent="0.25">
      <c r="A9467" s="3"/>
      <c r="F9467" s="19"/>
      <c r="G9467" s="19"/>
      <c r="N9467" s="19"/>
      <c r="P9467" s="19"/>
      <c r="AL9467" s="19"/>
    </row>
    <row r="9468" spans="1:38" s="11" customFormat="1" x14ac:dyDescent="0.25">
      <c r="A9468" s="3"/>
      <c r="F9468" s="19"/>
      <c r="G9468" s="19"/>
      <c r="N9468" s="19"/>
      <c r="P9468" s="19"/>
      <c r="AL9468" s="19"/>
    </row>
    <row r="9469" spans="1:38" s="11" customFormat="1" x14ac:dyDescent="0.25">
      <c r="A9469" s="3"/>
      <c r="F9469" s="19"/>
      <c r="G9469" s="19"/>
      <c r="N9469" s="19"/>
      <c r="P9469" s="19"/>
      <c r="AL9469" s="19"/>
    </row>
    <row r="9470" spans="1:38" s="11" customFormat="1" x14ac:dyDescent="0.25">
      <c r="A9470" s="3"/>
      <c r="F9470" s="19"/>
      <c r="G9470" s="19"/>
      <c r="N9470" s="19"/>
      <c r="P9470" s="19"/>
      <c r="AL9470" s="19"/>
    </row>
    <row r="9471" spans="1:38" s="11" customFormat="1" x14ac:dyDescent="0.25">
      <c r="A9471" s="3"/>
      <c r="F9471" s="19"/>
      <c r="G9471" s="19"/>
      <c r="N9471" s="19"/>
      <c r="P9471" s="19"/>
      <c r="AL9471" s="19"/>
    </row>
    <row r="9472" spans="1:38" s="11" customFormat="1" x14ac:dyDescent="0.25">
      <c r="A9472" s="3"/>
      <c r="F9472" s="19"/>
      <c r="G9472" s="19"/>
      <c r="N9472" s="19"/>
      <c r="P9472" s="19"/>
      <c r="AL9472" s="19"/>
    </row>
    <row r="9473" spans="1:38" s="11" customFormat="1" x14ac:dyDescent="0.25">
      <c r="A9473" s="3"/>
      <c r="F9473" s="19"/>
      <c r="G9473" s="19"/>
      <c r="N9473" s="19"/>
      <c r="P9473" s="19"/>
      <c r="AL9473" s="19"/>
    </row>
    <row r="9474" spans="1:38" s="11" customFormat="1" x14ac:dyDescent="0.25">
      <c r="A9474" s="3"/>
      <c r="F9474" s="19"/>
      <c r="G9474" s="19"/>
      <c r="N9474" s="19"/>
      <c r="P9474" s="19"/>
      <c r="AL9474" s="19"/>
    </row>
    <row r="9475" spans="1:38" s="11" customFormat="1" x14ac:dyDescent="0.25">
      <c r="A9475" s="3"/>
      <c r="F9475" s="19"/>
      <c r="G9475" s="19"/>
      <c r="N9475" s="19"/>
      <c r="P9475" s="19"/>
      <c r="AL9475" s="19"/>
    </row>
    <row r="9476" spans="1:38" s="11" customFormat="1" x14ac:dyDescent="0.25">
      <c r="A9476" s="3"/>
      <c r="F9476" s="19"/>
      <c r="G9476" s="19"/>
      <c r="N9476" s="19"/>
      <c r="P9476" s="19"/>
      <c r="AL9476" s="19"/>
    </row>
    <row r="9477" spans="1:38" s="11" customFormat="1" x14ac:dyDescent="0.25">
      <c r="A9477" s="3"/>
      <c r="F9477" s="19"/>
      <c r="G9477" s="19"/>
      <c r="N9477" s="19"/>
      <c r="P9477" s="19"/>
      <c r="AL9477" s="19"/>
    </row>
    <row r="9478" spans="1:38" s="11" customFormat="1" x14ac:dyDescent="0.25">
      <c r="A9478" s="3"/>
      <c r="F9478" s="19"/>
      <c r="G9478" s="19"/>
      <c r="N9478" s="19"/>
      <c r="P9478" s="19"/>
      <c r="AL9478" s="19"/>
    </row>
    <row r="9479" spans="1:38" s="11" customFormat="1" x14ac:dyDescent="0.25">
      <c r="A9479" s="3"/>
      <c r="F9479" s="19"/>
      <c r="G9479" s="19"/>
      <c r="N9479" s="19"/>
      <c r="P9479" s="19"/>
      <c r="AL9479" s="19"/>
    </row>
    <row r="9480" spans="1:38" s="11" customFormat="1" x14ac:dyDescent="0.25">
      <c r="A9480" s="3"/>
      <c r="F9480" s="19"/>
      <c r="G9480" s="19"/>
      <c r="N9480" s="19"/>
      <c r="P9480" s="19"/>
      <c r="AL9480" s="19"/>
    </row>
    <row r="9481" spans="1:38" s="11" customFormat="1" x14ac:dyDescent="0.25">
      <c r="A9481" s="3"/>
      <c r="F9481" s="19"/>
      <c r="G9481" s="19"/>
      <c r="N9481" s="19"/>
      <c r="P9481" s="19"/>
      <c r="AL9481" s="19"/>
    </row>
    <row r="9482" spans="1:38" s="11" customFormat="1" x14ac:dyDescent="0.25">
      <c r="A9482" s="3"/>
      <c r="F9482" s="19"/>
      <c r="G9482" s="19"/>
      <c r="N9482" s="19"/>
      <c r="P9482" s="19"/>
      <c r="AL9482" s="19"/>
    </row>
    <row r="9483" spans="1:38" s="11" customFormat="1" x14ac:dyDescent="0.25">
      <c r="A9483" s="3"/>
      <c r="F9483" s="19"/>
      <c r="G9483" s="19"/>
      <c r="N9483" s="19"/>
      <c r="P9483" s="19"/>
      <c r="AL9483" s="19"/>
    </row>
    <row r="9484" spans="1:38" s="11" customFormat="1" x14ac:dyDescent="0.25">
      <c r="A9484" s="3"/>
      <c r="F9484" s="19"/>
      <c r="G9484" s="19"/>
      <c r="N9484" s="19"/>
      <c r="P9484" s="19"/>
      <c r="AL9484" s="19"/>
    </row>
    <row r="9485" spans="1:38" s="11" customFormat="1" x14ac:dyDescent="0.25">
      <c r="A9485" s="3"/>
      <c r="F9485" s="19"/>
      <c r="G9485" s="19"/>
      <c r="N9485" s="19"/>
      <c r="P9485" s="19"/>
      <c r="AL9485" s="19"/>
    </row>
    <row r="9486" spans="1:38" s="11" customFormat="1" x14ac:dyDescent="0.25">
      <c r="A9486" s="3"/>
      <c r="F9486" s="19"/>
      <c r="G9486" s="19"/>
      <c r="N9486" s="19"/>
      <c r="P9486" s="19"/>
      <c r="AL9486" s="19"/>
    </row>
    <row r="9487" spans="1:38" s="11" customFormat="1" x14ac:dyDescent="0.25">
      <c r="A9487" s="3"/>
      <c r="F9487" s="19"/>
      <c r="G9487" s="19"/>
      <c r="N9487" s="19"/>
      <c r="P9487" s="19"/>
      <c r="AL9487" s="19"/>
    </row>
    <row r="9488" spans="1:38" s="11" customFormat="1" x14ac:dyDescent="0.25">
      <c r="A9488" s="3"/>
      <c r="F9488" s="19"/>
      <c r="G9488" s="19"/>
      <c r="N9488" s="19"/>
      <c r="P9488" s="19"/>
      <c r="AL9488" s="19"/>
    </row>
    <row r="9489" spans="1:38" s="11" customFormat="1" x14ac:dyDescent="0.25">
      <c r="A9489" s="3"/>
      <c r="F9489" s="19"/>
      <c r="G9489" s="19"/>
      <c r="N9489" s="19"/>
      <c r="P9489" s="19"/>
      <c r="AL9489" s="19"/>
    </row>
    <row r="9490" spans="1:38" s="11" customFormat="1" x14ac:dyDescent="0.25">
      <c r="A9490" s="3"/>
      <c r="F9490" s="19"/>
      <c r="G9490" s="19"/>
      <c r="N9490" s="19"/>
      <c r="P9490" s="19"/>
      <c r="AL9490" s="19"/>
    </row>
    <row r="9491" spans="1:38" s="11" customFormat="1" x14ac:dyDescent="0.25">
      <c r="A9491" s="3"/>
      <c r="F9491" s="19"/>
      <c r="G9491" s="19"/>
      <c r="N9491" s="19"/>
      <c r="P9491" s="19"/>
      <c r="AL9491" s="19"/>
    </row>
    <row r="9492" spans="1:38" s="11" customFormat="1" x14ac:dyDescent="0.25">
      <c r="A9492" s="3"/>
      <c r="F9492" s="19"/>
      <c r="G9492" s="19"/>
      <c r="N9492" s="19"/>
      <c r="P9492" s="19"/>
      <c r="AL9492" s="19"/>
    </row>
    <row r="9493" spans="1:38" s="11" customFormat="1" x14ac:dyDescent="0.25">
      <c r="A9493" s="3"/>
      <c r="F9493" s="19"/>
      <c r="G9493" s="19"/>
      <c r="N9493" s="19"/>
      <c r="P9493" s="19"/>
      <c r="AL9493" s="19"/>
    </row>
    <row r="9494" spans="1:38" s="11" customFormat="1" x14ac:dyDescent="0.25">
      <c r="A9494" s="3"/>
      <c r="F9494" s="19"/>
      <c r="G9494" s="19"/>
      <c r="N9494" s="19"/>
      <c r="P9494" s="19"/>
      <c r="AL9494" s="19"/>
    </row>
    <row r="9495" spans="1:38" s="11" customFormat="1" x14ac:dyDescent="0.25">
      <c r="A9495" s="3"/>
      <c r="F9495" s="19"/>
      <c r="G9495" s="19"/>
      <c r="N9495" s="19"/>
      <c r="P9495" s="19"/>
      <c r="AL9495" s="19"/>
    </row>
    <row r="9496" spans="1:38" s="11" customFormat="1" x14ac:dyDescent="0.25">
      <c r="A9496" s="3"/>
      <c r="F9496" s="19"/>
      <c r="G9496" s="19"/>
      <c r="N9496" s="19"/>
      <c r="P9496" s="19"/>
      <c r="AL9496" s="19"/>
    </row>
    <row r="9497" spans="1:38" s="11" customFormat="1" x14ac:dyDescent="0.25">
      <c r="A9497" s="3"/>
      <c r="F9497" s="19"/>
      <c r="G9497" s="19"/>
      <c r="N9497" s="19"/>
      <c r="P9497" s="19"/>
      <c r="AL9497" s="19"/>
    </row>
    <row r="9498" spans="1:38" s="11" customFormat="1" x14ac:dyDescent="0.25">
      <c r="A9498" s="3"/>
      <c r="F9498" s="19"/>
      <c r="G9498" s="19"/>
      <c r="N9498" s="19"/>
      <c r="P9498" s="19"/>
      <c r="AL9498" s="19"/>
    </row>
    <row r="9499" spans="1:38" s="11" customFormat="1" x14ac:dyDescent="0.25">
      <c r="A9499" s="3"/>
      <c r="F9499" s="19"/>
      <c r="G9499" s="19"/>
      <c r="N9499" s="19"/>
      <c r="P9499" s="19"/>
      <c r="AL9499" s="19"/>
    </row>
    <row r="9500" spans="1:38" s="11" customFormat="1" x14ac:dyDescent="0.25">
      <c r="A9500" s="3"/>
      <c r="F9500" s="19"/>
      <c r="G9500" s="19"/>
      <c r="N9500" s="19"/>
      <c r="P9500" s="19"/>
      <c r="AL9500" s="19"/>
    </row>
    <row r="9501" spans="1:38" s="11" customFormat="1" x14ac:dyDescent="0.25">
      <c r="A9501" s="3"/>
      <c r="F9501" s="19"/>
      <c r="G9501" s="19"/>
      <c r="N9501" s="19"/>
      <c r="P9501" s="19"/>
      <c r="AL9501" s="19"/>
    </row>
    <row r="9502" spans="1:38" s="11" customFormat="1" x14ac:dyDescent="0.25">
      <c r="A9502" s="3"/>
      <c r="F9502" s="19"/>
      <c r="G9502" s="19"/>
      <c r="N9502" s="19"/>
      <c r="P9502" s="19"/>
      <c r="AL9502" s="19"/>
    </row>
    <row r="9503" spans="1:38" s="11" customFormat="1" x14ac:dyDescent="0.25">
      <c r="A9503" s="3"/>
      <c r="F9503" s="19"/>
      <c r="G9503" s="19"/>
      <c r="N9503" s="19"/>
      <c r="P9503" s="19"/>
      <c r="AL9503" s="19"/>
    </row>
    <row r="9504" spans="1:38" s="11" customFormat="1" x14ac:dyDescent="0.25">
      <c r="A9504" s="3"/>
      <c r="F9504" s="19"/>
      <c r="G9504" s="19"/>
      <c r="N9504" s="19"/>
      <c r="P9504" s="19"/>
      <c r="AL9504" s="19"/>
    </row>
    <row r="9505" spans="1:38" s="11" customFormat="1" x14ac:dyDescent="0.25">
      <c r="A9505" s="3"/>
      <c r="F9505" s="19"/>
      <c r="G9505" s="19"/>
      <c r="N9505" s="19"/>
      <c r="P9505" s="19"/>
      <c r="AL9505" s="19"/>
    </row>
    <row r="9506" spans="1:38" s="11" customFormat="1" x14ac:dyDescent="0.25">
      <c r="A9506" s="3"/>
      <c r="F9506" s="19"/>
      <c r="G9506" s="19"/>
      <c r="N9506" s="19"/>
      <c r="P9506" s="19"/>
      <c r="AL9506" s="19"/>
    </row>
    <row r="9507" spans="1:38" s="11" customFormat="1" x14ac:dyDescent="0.25">
      <c r="A9507" s="3"/>
      <c r="F9507" s="19"/>
      <c r="G9507" s="19"/>
      <c r="N9507" s="19"/>
      <c r="P9507" s="19"/>
      <c r="AL9507" s="19"/>
    </row>
    <row r="9508" spans="1:38" s="11" customFormat="1" x14ac:dyDescent="0.25">
      <c r="A9508" s="3"/>
      <c r="F9508" s="19"/>
      <c r="G9508" s="19"/>
      <c r="N9508" s="19"/>
      <c r="P9508" s="19"/>
      <c r="AL9508" s="19"/>
    </row>
    <row r="9509" spans="1:38" s="11" customFormat="1" x14ac:dyDescent="0.25">
      <c r="A9509" s="3"/>
      <c r="F9509" s="19"/>
      <c r="G9509" s="19"/>
      <c r="N9509" s="19"/>
      <c r="P9509" s="19"/>
      <c r="AL9509" s="19"/>
    </row>
    <row r="9510" spans="1:38" s="11" customFormat="1" x14ac:dyDescent="0.25">
      <c r="A9510" s="3"/>
      <c r="F9510" s="19"/>
      <c r="G9510" s="19"/>
      <c r="N9510" s="19"/>
      <c r="P9510" s="19"/>
      <c r="AL9510" s="19"/>
    </row>
    <row r="9511" spans="1:38" s="11" customFormat="1" x14ac:dyDescent="0.25">
      <c r="A9511" s="3"/>
      <c r="F9511" s="19"/>
      <c r="G9511" s="19"/>
      <c r="N9511" s="19"/>
      <c r="P9511" s="19"/>
      <c r="AL9511" s="19"/>
    </row>
    <row r="9512" spans="1:38" s="11" customFormat="1" x14ac:dyDescent="0.25">
      <c r="A9512" s="3"/>
      <c r="F9512" s="19"/>
      <c r="G9512" s="19"/>
      <c r="N9512" s="19"/>
      <c r="P9512" s="19"/>
      <c r="AL9512" s="19"/>
    </row>
    <row r="9513" spans="1:38" s="11" customFormat="1" x14ac:dyDescent="0.25">
      <c r="A9513" s="3"/>
      <c r="F9513" s="19"/>
      <c r="G9513" s="19"/>
      <c r="N9513" s="19"/>
      <c r="P9513" s="19"/>
      <c r="AL9513" s="19"/>
    </row>
    <row r="9514" spans="1:38" s="11" customFormat="1" x14ac:dyDescent="0.25">
      <c r="A9514" s="3"/>
      <c r="F9514" s="19"/>
      <c r="G9514" s="19"/>
      <c r="N9514" s="19"/>
      <c r="P9514" s="19"/>
      <c r="AL9514" s="19"/>
    </row>
    <row r="9515" spans="1:38" s="11" customFormat="1" x14ac:dyDescent="0.25">
      <c r="A9515" s="3"/>
      <c r="F9515" s="19"/>
      <c r="G9515" s="19"/>
      <c r="N9515" s="19"/>
      <c r="P9515" s="19"/>
      <c r="AL9515" s="19"/>
    </row>
    <row r="9516" spans="1:38" s="11" customFormat="1" x14ac:dyDescent="0.25">
      <c r="A9516" s="3"/>
      <c r="F9516" s="19"/>
      <c r="G9516" s="19"/>
      <c r="N9516" s="19"/>
      <c r="P9516" s="19"/>
      <c r="AL9516" s="19"/>
    </row>
    <row r="9517" spans="1:38" s="11" customFormat="1" x14ac:dyDescent="0.25">
      <c r="A9517" s="3"/>
      <c r="F9517" s="19"/>
      <c r="G9517" s="19"/>
      <c r="N9517" s="19"/>
      <c r="P9517" s="19"/>
      <c r="AL9517" s="19"/>
    </row>
    <row r="9518" spans="1:38" s="11" customFormat="1" x14ac:dyDescent="0.25">
      <c r="A9518" s="3"/>
      <c r="F9518" s="19"/>
      <c r="G9518" s="19"/>
      <c r="N9518" s="19"/>
      <c r="P9518" s="19"/>
      <c r="AL9518" s="19"/>
    </row>
    <row r="9519" spans="1:38" s="11" customFormat="1" x14ac:dyDescent="0.25">
      <c r="A9519" s="3"/>
      <c r="F9519" s="19"/>
      <c r="G9519" s="19"/>
      <c r="N9519" s="19"/>
      <c r="P9519" s="19"/>
      <c r="AL9519" s="19"/>
    </row>
    <row r="9520" spans="1:38" s="11" customFormat="1" x14ac:dyDescent="0.25">
      <c r="A9520" s="3"/>
      <c r="F9520" s="19"/>
      <c r="G9520" s="19"/>
      <c r="N9520" s="19"/>
      <c r="P9520" s="19"/>
      <c r="AL9520" s="19"/>
    </row>
    <row r="9521" spans="1:38" s="11" customFormat="1" x14ac:dyDescent="0.25">
      <c r="A9521" s="3"/>
      <c r="F9521" s="19"/>
      <c r="G9521" s="19"/>
      <c r="N9521" s="19"/>
      <c r="P9521" s="19"/>
      <c r="AL9521" s="19"/>
    </row>
    <row r="9522" spans="1:38" s="11" customFormat="1" x14ac:dyDescent="0.25">
      <c r="A9522" s="3"/>
      <c r="F9522" s="19"/>
      <c r="G9522" s="19"/>
      <c r="N9522" s="19"/>
      <c r="P9522" s="19"/>
      <c r="AL9522" s="19"/>
    </row>
    <row r="9523" spans="1:38" s="11" customFormat="1" x14ac:dyDescent="0.25">
      <c r="A9523" s="3"/>
      <c r="F9523" s="19"/>
      <c r="G9523" s="19"/>
      <c r="N9523" s="19"/>
      <c r="P9523" s="19"/>
      <c r="AL9523" s="19"/>
    </row>
    <row r="9524" spans="1:38" s="11" customFormat="1" x14ac:dyDescent="0.25">
      <c r="A9524" s="3"/>
      <c r="F9524" s="19"/>
      <c r="G9524" s="19"/>
      <c r="N9524" s="19"/>
      <c r="P9524" s="19"/>
      <c r="AL9524" s="19"/>
    </row>
    <row r="9525" spans="1:38" s="11" customFormat="1" x14ac:dyDescent="0.25">
      <c r="A9525" s="3"/>
      <c r="F9525" s="19"/>
      <c r="G9525" s="19"/>
      <c r="N9525" s="19"/>
      <c r="P9525" s="19"/>
      <c r="AL9525" s="19"/>
    </row>
    <row r="9526" spans="1:38" s="11" customFormat="1" x14ac:dyDescent="0.25">
      <c r="A9526" s="3"/>
      <c r="F9526" s="19"/>
      <c r="G9526" s="19"/>
      <c r="N9526" s="19"/>
      <c r="P9526" s="19"/>
      <c r="AL9526" s="19"/>
    </row>
    <row r="9527" spans="1:38" s="11" customFormat="1" x14ac:dyDescent="0.25">
      <c r="A9527" s="3"/>
      <c r="F9527" s="19"/>
      <c r="G9527" s="19"/>
      <c r="N9527" s="19"/>
      <c r="P9527" s="19"/>
      <c r="AL9527" s="19"/>
    </row>
    <row r="9528" spans="1:38" s="11" customFormat="1" x14ac:dyDescent="0.25">
      <c r="A9528" s="3"/>
      <c r="F9528" s="19"/>
      <c r="G9528" s="19"/>
      <c r="N9528" s="19"/>
      <c r="P9528" s="19"/>
      <c r="AL9528" s="19"/>
    </row>
    <row r="9529" spans="1:38" s="11" customFormat="1" x14ac:dyDescent="0.25">
      <c r="A9529" s="3"/>
      <c r="F9529" s="19"/>
      <c r="G9529" s="19"/>
      <c r="N9529" s="19"/>
      <c r="P9529" s="19"/>
      <c r="AL9529" s="19"/>
    </row>
    <row r="9530" spans="1:38" s="11" customFormat="1" x14ac:dyDescent="0.25">
      <c r="A9530" s="3"/>
      <c r="F9530" s="19"/>
      <c r="G9530" s="19"/>
      <c r="N9530" s="19"/>
      <c r="P9530" s="19"/>
      <c r="AL9530" s="19"/>
    </row>
    <row r="9531" spans="1:38" s="11" customFormat="1" x14ac:dyDescent="0.25">
      <c r="A9531" s="3"/>
      <c r="F9531" s="19"/>
      <c r="G9531" s="19"/>
      <c r="N9531" s="19"/>
      <c r="P9531" s="19"/>
      <c r="AL9531" s="19"/>
    </row>
    <row r="9532" spans="1:38" s="11" customFormat="1" x14ac:dyDescent="0.25">
      <c r="A9532" s="3"/>
      <c r="F9532" s="19"/>
      <c r="G9532" s="19"/>
      <c r="N9532" s="19"/>
      <c r="P9532" s="19"/>
      <c r="AL9532" s="19"/>
    </row>
    <row r="9533" spans="1:38" s="11" customFormat="1" x14ac:dyDescent="0.25">
      <c r="A9533" s="3"/>
      <c r="F9533" s="19"/>
      <c r="G9533" s="19"/>
      <c r="N9533" s="19"/>
      <c r="P9533" s="19"/>
      <c r="AL9533" s="19"/>
    </row>
    <row r="9534" spans="1:38" s="11" customFormat="1" x14ac:dyDescent="0.25">
      <c r="A9534" s="3"/>
      <c r="F9534" s="19"/>
      <c r="G9534" s="19"/>
      <c r="N9534" s="19"/>
      <c r="P9534" s="19"/>
      <c r="AL9534" s="19"/>
    </row>
    <row r="9535" spans="1:38" s="11" customFormat="1" x14ac:dyDescent="0.25">
      <c r="A9535" s="3"/>
      <c r="F9535" s="19"/>
      <c r="G9535" s="19"/>
      <c r="N9535" s="19"/>
      <c r="P9535" s="19"/>
      <c r="AL9535" s="19"/>
    </row>
    <row r="9536" spans="1:38" s="11" customFormat="1" x14ac:dyDescent="0.25">
      <c r="A9536" s="3"/>
      <c r="F9536" s="19"/>
      <c r="G9536" s="19"/>
      <c r="N9536" s="19"/>
      <c r="P9536" s="19"/>
      <c r="AL9536" s="19"/>
    </row>
    <row r="9537" spans="1:38" s="11" customFormat="1" x14ac:dyDescent="0.25">
      <c r="A9537" s="3"/>
      <c r="F9537" s="19"/>
      <c r="G9537" s="19"/>
      <c r="N9537" s="19"/>
      <c r="P9537" s="19"/>
      <c r="AL9537" s="19"/>
    </row>
    <row r="9538" spans="1:38" s="11" customFormat="1" x14ac:dyDescent="0.25">
      <c r="A9538" s="3"/>
      <c r="F9538" s="19"/>
      <c r="G9538" s="19"/>
      <c r="N9538" s="19"/>
      <c r="P9538" s="19"/>
      <c r="AL9538" s="19"/>
    </row>
    <row r="9539" spans="1:38" s="11" customFormat="1" x14ac:dyDescent="0.25">
      <c r="A9539" s="3"/>
      <c r="F9539" s="19"/>
      <c r="G9539" s="19"/>
      <c r="N9539" s="19"/>
      <c r="P9539" s="19"/>
      <c r="AL9539" s="19"/>
    </row>
    <row r="9540" spans="1:38" s="11" customFormat="1" x14ac:dyDescent="0.25">
      <c r="A9540" s="3"/>
      <c r="F9540" s="19"/>
      <c r="G9540" s="19"/>
      <c r="N9540" s="19"/>
      <c r="P9540" s="19"/>
      <c r="AL9540" s="19"/>
    </row>
    <row r="9541" spans="1:38" s="11" customFormat="1" x14ac:dyDescent="0.25">
      <c r="A9541" s="3"/>
      <c r="F9541" s="19"/>
      <c r="G9541" s="19"/>
      <c r="N9541" s="19"/>
      <c r="P9541" s="19"/>
      <c r="AL9541" s="19"/>
    </row>
    <row r="9542" spans="1:38" s="11" customFormat="1" x14ac:dyDescent="0.25">
      <c r="A9542" s="3"/>
      <c r="F9542" s="19"/>
      <c r="G9542" s="19"/>
      <c r="N9542" s="19"/>
      <c r="P9542" s="19"/>
      <c r="AL9542" s="19"/>
    </row>
    <row r="9543" spans="1:38" s="11" customFormat="1" x14ac:dyDescent="0.25">
      <c r="A9543" s="3"/>
      <c r="F9543" s="19"/>
      <c r="G9543" s="19"/>
      <c r="N9543" s="19"/>
      <c r="P9543" s="19"/>
      <c r="AL9543" s="19"/>
    </row>
    <row r="9544" spans="1:38" s="11" customFormat="1" x14ac:dyDescent="0.25">
      <c r="A9544" s="3"/>
      <c r="F9544" s="19"/>
      <c r="G9544" s="19"/>
      <c r="N9544" s="19"/>
      <c r="P9544" s="19"/>
      <c r="AL9544" s="19"/>
    </row>
    <row r="9545" spans="1:38" s="11" customFormat="1" x14ac:dyDescent="0.25">
      <c r="A9545" s="3"/>
      <c r="F9545" s="19"/>
      <c r="G9545" s="19"/>
      <c r="N9545" s="19"/>
      <c r="P9545" s="19"/>
      <c r="AL9545" s="19"/>
    </row>
    <row r="9546" spans="1:38" s="11" customFormat="1" x14ac:dyDescent="0.25">
      <c r="A9546" s="3"/>
      <c r="F9546" s="19"/>
      <c r="G9546" s="19"/>
      <c r="N9546" s="19"/>
      <c r="P9546" s="19"/>
      <c r="AL9546" s="19"/>
    </row>
    <row r="9547" spans="1:38" s="11" customFormat="1" x14ac:dyDescent="0.25">
      <c r="A9547" s="3"/>
      <c r="F9547" s="19"/>
      <c r="G9547" s="19"/>
      <c r="N9547" s="19"/>
      <c r="P9547" s="19"/>
      <c r="AL9547" s="19"/>
    </row>
    <row r="9548" spans="1:38" s="11" customFormat="1" x14ac:dyDescent="0.25">
      <c r="A9548" s="3"/>
      <c r="F9548" s="19"/>
      <c r="G9548" s="19"/>
      <c r="N9548" s="19"/>
      <c r="P9548" s="19"/>
      <c r="AL9548" s="19"/>
    </row>
    <row r="9549" spans="1:38" s="11" customFormat="1" x14ac:dyDescent="0.25">
      <c r="A9549" s="3"/>
      <c r="F9549" s="19"/>
      <c r="G9549" s="19"/>
      <c r="N9549" s="19"/>
      <c r="P9549" s="19"/>
      <c r="AL9549" s="19"/>
    </row>
    <row r="9550" spans="1:38" s="11" customFormat="1" x14ac:dyDescent="0.25">
      <c r="A9550" s="3"/>
      <c r="F9550" s="19"/>
      <c r="G9550" s="19"/>
      <c r="N9550" s="19"/>
      <c r="P9550" s="19"/>
      <c r="AL9550" s="19"/>
    </row>
    <row r="9551" spans="1:38" s="11" customFormat="1" x14ac:dyDescent="0.25">
      <c r="A9551" s="3"/>
      <c r="F9551" s="19"/>
      <c r="G9551" s="19"/>
      <c r="N9551" s="19"/>
      <c r="P9551" s="19"/>
      <c r="AL9551" s="19"/>
    </row>
    <row r="9552" spans="1:38" s="11" customFormat="1" x14ac:dyDescent="0.25">
      <c r="A9552" s="3"/>
      <c r="F9552" s="19"/>
      <c r="G9552" s="19"/>
      <c r="N9552" s="19"/>
      <c r="P9552" s="19"/>
      <c r="AL9552" s="19"/>
    </row>
    <row r="9553" spans="1:38" s="11" customFormat="1" x14ac:dyDescent="0.25">
      <c r="A9553" s="3"/>
      <c r="F9553" s="19"/>
      <c r="G9553" s="19"/>
      <c r="N9553" s="19"/>
      <c r="P9553" s="19"/>
      <c r="AL9553" s="19"/>
    </row>
    <row r="9554" spans="1:38" s="11" customFormat="1" x14ac:dyDescent="0.25">
      <c r="A9554" s="3"/>
      <c r="F9554" s="19"/>
      <c r="G9554" s="19"/>
      <c r="N9554" s="19"/>
      <c r="P9554" s="19"/>
      <c r="AL9554" s="19"/>
    </row>
    <row r="9555" spans="1:38" s="11" customFormat="1" x14ac:dyDescent="0.25">
      <c r="A9555" s="3"/>
      <c r="F9555" s="19"/>
      <c r="G9555" s="19"/>
      <c r="N9555" s="19"/>
      <c r="P9555" s="19"/>
      <c r="AL9555" s="19"/>
    </row>
    <row r="9556" spans="1:38" s="11" customFormat="1" x14ac:dyDescent="0.25">
      <c r="A9556" s="3"/>
      <c r="F9556" s="19"/>
      <c r="G9556" s="19"/>
      <c r="N9556" s="19"/>
      <c r="P9556" s="19"/>
      <c r="AL9556" s="19"/>
    </row>
    <row r="9557" spans="1:38" s="11" customFormat="1" x14ac:dyDescent="0.25">
      <c r="A9557" s="3"/>
      <c r="F9557" s="19"/>
      <c r="G9557" s="19"/>
      <c r="N9557" s="19"/>
      <c r="P9557" s="19"/>
      <c r="AL9557" s="19"/>
    </row>
    <row r="9558" spans="1:38" s="11" customFormat="1" x14ac:dyDescent="0.25">
      <c r="A9558" s="3"/>
      <c r="F9558" s="19"/>
      <c r="G9558" s="19"/>
      <c r="N9558" s="19"/>
      <c r="P9558" s="19"/>
      <c r="AL9558" s="19"/>
    </row>
    <row r="9559" spans="1:38" s="11" customFormat="1" x14ac:dyDescent="0.25">
      <c r="A9559" s="3"/>
      <c r="F9559" s="19"/>
      <c r="G9559" s="19"/>
      <c r="N9559" s="19"/>
      <c r="P9559" s="19"/>
      <c r="AL9559" s="19"/>
    </row>
    <row r="9560" spans="1:38" s="11" customFormat="1" x14ac:dyDescent="0.25">
      <c r="A9560" s="3"/>
      <c r="F9560" s="19"/>
      <c r="G9560" s="19"/>
      <c r="N9560" s="19"/>
      <c r="P9560" s="19"/>
      <c r="AL9560" s="19"/>
    </row>
    <row r="9561" spans="1:38" s="11" customFormat="1" x14ac:dyDescent="0.25">
      <c r="A9561" s="3"/>
      <c r="F9561" s="19"/>
      <c r="G9561" s="19"/>
      <c r="N9561" s="19"/>
      <c r="P9561" s="19"/>
      <c r="AL9561" s="19"/>
    </row>
    <row r="9562" spans="1:38" s="11" customFormat="1" x14ac:dyDescent="0.25">
      <c r="A9562" s="3"/>
      <c r="F9562" s="19"/>
      <c r="G9562" s="19"/>
      <c r="N9562" s="19"/>
      <c r="P9562" s="19"/>
      <c r="AL9562" s="19"/>
    </row>
    <row r="9563" spans="1:38" s="11" customFormat="1" x14ac:dyDescent="0.25">
      <c r="A9563" s="3"/>
      <c r="F9563" s="19"/>
      <c r="G9563" s="19"/>
      <c r="N9563" s="19"/>
      <c r="P9563" s="19"/>
      <c r="AL9563" s="19"/>
    </row>
    <row r="9564" spans="1:38" s="11" customFormat="1" x14ac:dyDescent="0.25">
      <c r="A9564" s="3"/>
      <c r="F9564" s="19"/>
      <c r="G9564" s="19"/>
      <c r="N9564" s="19"/>
      <c r="P9564" s="19"/>
      <c r="AL9564" s="19"/>
    </row>
    <row r="9565" spans="1:38" s="11" customFormat="1" x14ac:dyDescent="0.25">
      <c r="A9565" s="3"/>
      <c r="F9565" s="19"/>
      <c r="G9565" s="19"/>
      <c r="N9565" s="19"/>
      <c r="P9565" s="19"/>
      <c r="AL9565" s="19"/>
    </row>
    <row r="9566" spans="1:38" s="11" customFormat="1" x14ac:dyDescent="0.25">
      <c r="A9566" s="3"/>
      <c r="F9566" s="19"/>
      <c r="G9566" s="19"/>
      <c r="N9566" s="19"/>
      <c r="P9566" s="19"/>
      <c r="AL9566" s="19"/>
    </row>
    <row r="9567" spans="1:38" s="11" customFormat="1" x14ac:dyDescent="0.25">
      <c r="A9567" s="3"/>
      <c r="F9567" s="19"/>
      <c r="G9567" s="19"/>
      <c r="N9567" s="19"/>
      <c r="P9567" s="19"/>
      <c r="AL9567" s="19"/>
    </row>
    <row r="9568" spans="1:38" s="11" customFormat="1" x14ac:dyDescent="0.25">
      <c r="A9568" s="3"/>
      <c r="F9568" s="19"/>
      <c r="G9568" s="19"/>
      <c r="N9568" s="19"/>
      <c r="P9568" s="19"/>
      <c r="AL9568" s="19"/>
    </row>
    <row r="9569" spans="1:38" s="11" customFormat="1" x14ac:dyDescent="0.25">
      <c r="A9569" s="3"/>
      <c r="F9569" s="19"/>
      <c r="G9569" s="19"/>
      <c r="N9569" s="19"/>
      <c r="P9569" s="19"/>
      <c r="AL9569" s="19"/>
    </row>
    <row r="9570" spans="1:38" s="11" customFormat="1" x14ac:dyDescent="0.25">
      <c r="A9570" s="3"/>
      <c r="F9570" s="19"/>
      <c r="G9570" s="19"/>
      <c r="N9570" s="19"/>
      <c r="P9570" s="19"/>
      <c r="AL9570" s="19"/>
    </row>
    <row r="9571" spans="1:38" s="11" customFormat="1" x14ac:dyDescent="0.25">
      <c r="A9571" s="3"/>
      <c r="F9571" s="19"/>
      <c r="G9571" s="19"/>
      <c r="N9571" s="19"/>
      <c r="P9571" s="19"/>
      <c r="AL9571" s="19"/>
    </row>
    <row r="9572" spans="1:38" s="11" customFormat="1" x14ac:dyDescent="0.25">
      <c r="A9572" s="3"/>
      <c r="F9572" s="19"/>
      <c r="G9572" s="19"/>
      <c r="N9572" s="19"/>
      <c r="P9572" s="19"/>
      <c r="AL9572" s="19"/>
    </row>
    <row r="9573" spans="1:38" s="11" customFormat="1" x14ac:dyDescent="0.25">
      <c r="A9573" s="3"/>
      <c r="F9573" s="19"/>
      <c r="G9573" s="19"/>
      <c r="N9573" s="19"/>
      <c r="P9573" s="19"/>
      <c r="AL9573" s="19"/>
    </row>
    <row r="9574" spans="1:38" s="11" customFormat="1" x14ac:dyDescent="0.25">
      <c r="A9574" s="3"/>
      <c r="F9574" s="19"/>
      <c r="G9574" s="19"/>
      <c r="N9574" s="19"/>
      <c r="P9574" s="19"/>
      <c r="AL9574" s="19"/>
    </row>
    <row r="9575" spans="1:38" s="11" customFormat="1" x14ac:dyDescent="0.25">
      <c r="A9575" s="3"/>
      <c r="F9575" s="19"/>
      <c r="G9575" s="19"/>
      <c r="N9575" s="19"/>
      <c r="P9575" s="19"/>
      <c r="AL9575" s="19"/>
    </row>
    <row r="9576" spans="1:38" s="11" customFormat="1" x14ac:dyDescent="0.25">
      <c r="A9576" s="3"/>
      <c r="F9576" s="19"/>
      <c r="G9576" s="19"/>
      <c r="N9576" s="19"/>
      <c r="P9576" s="19"/>
      <c r="AL9576" s="19"/>
    </row>
    <row r="9577" spans="1:38" s="11" customFormat="1" x14ac:dyDescent="0.25">
      <c r="A9577" s="3"/>
      <c r="F9577" s="19"/>
      <c r="G9577" s="19"/>
      <c r="N9577" s="19"/>
      <c r="P9577" s="19"/>
      <c r="AL9577" s="19"/>
    </row>
    <row r="9578" spans="1:38" s="11" customFormat="1" x14ac:dyDescent="0.25">
      <c r="A9578" s="3"/>
      <c r="F9578" s="19"/>
      <c r="G9578" s="19"/>
      <c r="N9578" s="19"/>
      <c r="P9578" s="19"/>
      <c r="AL9578" s="19"/>
    </row>
    <row r="9579" spans="1:38" s="11" customFormat="1" x14ac:dyDescent="0.25">
      <c r="A9579" s="3"/>
      <c r="F9579" s="19"/>
      <c r="G9579" s="19"/>
      <c r="N9579" s="19"/>
      <c r="P9579" s="19"/>
      <c r="AL9579" s="19"/>
    </row>
    <row r="9580" spans="1:38" s="11" customFormat="1" x14ac:dyDescent="0.25">
      <c r="A9580" s="3"/>
      <c r="F9580" s="19"/>
      <c r="G9580" s="19"/>
      <c r="N9580" s="19"/>
      <c r="P9580" s="19"/>
      <c r="AL9580" s="19"/>
    </row>
    <row r="9581" spans="1:38" s="11" customFormat="1" x14ac:dyDescent="0.25">
      <c r="A9581" s="3"/>
      <c r="F9581" s="19"/>
      <c r="G9581" s="19"/>
      <c r="N9581" s="19"/>
      <c r="P9581" s="19"/>
      <c r="AL9581" s="19"/>
    </row>
    <row r="9582" spans="1:38" s="11" customFormat="1" x14ac:dyDescent="0.25">
      <c r="A9582" s="3"/>
      <c r="F9582" s="19"/>
      <c r="G9582" s="19"/>
      <c r="N9582" s="19"/>
      <c r="P9582" s="19"/>
      <c r="AL9582" s="19"/>
    </row>
    <row r="9583" spans="1:38" s="11" customFormat="1" x14ac:dyDescent="0.25">
      <c r="A9583" s="3"/>
      <c r="F9583" s="19"/>
      <c r="G9583" s="19"/>
      <c r="N9583" s="19"/>
      <c r="P9583" s="19"/>
      <c r="AL9583" s="19"/>
    </row>
    <row r="9584" spans="1:38" s="11" customFormat="1" x14ac:dyDescent="0.25">
      <c r="A9584" s="3"/>
      <c r="F9584" s="19"/>
      <c r="G9584" s="19"/>
      <c r="N9584" s="19"/>
      <c r="P9584" s="19"/>
      <c r="AL9584" s="19"/>
    </row>
    <row r="9585" spans="1:38" s="11" customFormat="1" x14ac:dyDescent="0.25">
      <c r="A9585" s="3"/>
      <c r="F9585" s="19"/>
      <c r="G9585" s="19"/>
      <c r="N9585" s="19"/>
      <c r="P9585" s="19"/>
      <c r="AL9585" s="19"/>
    </row>
    <row r="9586" spans="1:38" s="11" customFormat="1" x14ac:dyDescent="0.25">
      <c r="A9586" s="3"/>
      <c r="F9586" s="19"/>
      <c r="G9586" s="19"/>
      <c r="N9586" s="19"/>
      <c r="P9586" s="19"/>
      <c r="AL9586" s="19"/>
    </row>
    <row r="9587" spans="1:38" s="11" customFormat="1" x14ac:dyDescent="0.25">
      <c r="A9587" s="3"/>
      <c r="F9587" s="19"/>
      <c r="G9587" s="19"/>
      <c r="N9587" s="19"/>
      <c r="P9587" s="19"/>
      <c r="AL9587" s="19"/>
    </row>
    <row r="9588" spans="1:38" s="11" customFormat="1" x14ac:dyDescent="0.25">
      <c r="A9588" s="3"/>
      <c r="F9588" s="19"/>
      <c r="G9588" s="19"/>
      <c r="N9588" s="19"/>
      <c r="P9588" s="19"/>
      <c r="AL9588" s="19"/>
    </row>
    <row r="9589" spans="1:38" s="11" customFormat="1" x14ac:dyDescent="0.25">
      <c r="A9589" s="3"/>
      <c r="F9589" s="19"/>
      <c r="G9589" s="19"/>
      <c r="N9589" s="19"/>
      <c r="P9589" s="19"/>
      <c r="AL9589" s="19"/>
    </row>
    <row r="9590" spans="1:38" s="11" customFormat="1" x14ac:dyDescent="0.25">
      <c r="A9590" s="3"/>
      <c r="F9590" s="19"/>
      <c r="G9590" s="19"/>
      <c r="N9590" s="19"/>
      <c r="P9590" s="19"/>
      <c r="AL9590" s="19"/>
    </row>
    <row r="9591" spans="1:38" s="11" customFormat="1" x14ac:dyDescent="0.25">
      <c r="A9591" s="3"/>
      <c r="F9591" s="19"/>
      <c r="G9591" s="19"/>
      <c r="N9591" s="19"/>
      <c r="P9591" s="19"/>
      <c r="AL9591" s="19"/>
    </row>
    <row r="9592" spans="1:38" s="11" customFormat="1" x14ac:dyDescent="0.25">
      <c r="A9592" s="3"/>
      <c r="F9592" s="19"/>
      <c r="G9592" s="19"/>
      <c r="N9592" s="19"/>
      <c r="P9592" s="19"/>
      <c r="AL9592" s="19"/>
    </row>
    <row r="9593" spans="1:38" s="11" customFormat="1" x14ac:dyDescent="0.25">
      <c r="A9593" s="3"/>
      <c r="F9593" s="19"/>
      <c r="G9593" s="19"/>
      <c r="N9593" s="19"/>
      <c r="P9593" s="19"/>
      <c r="AL9593" s="19"/>
    </row>
    <row r="9594" spans="1:38" s="11" customFormat="1" x14ac:dyDescent="0.25">
      <c r="A9594" s="3"/>
      <c r="F9594" s="19"/>
      <c r="G9594" s="19"/>
      <c r="N9594" s="19"/>
      <c r="P9594" s="19"/>
      <c r="AL9594" s="19"/>
    </row>
    <row r="9595" spans="1:38" s="11" customFormat="1" x14ac:dyDescent="0.25">
      <c r="A9595" s="3"/>
      <c r="F9595" s="19"/>
      <c r="G9595" s="19"/>
      <c r="N9595" s="19"/>
      <c r="P9595" s="19"/>
      <c r="AL9595" s="19"/>
    </row>
    <row r="9596" spans="1:38" s="11" customFormat="1" x14ac:dyDescent="0.25">
      <c r="A9596" s="3"/>
      <c r="F9596" s="19"/>
      <c r="G9596" s="19"/>
      <c r="N9596" s="19"/>
      <c r="P9596" s="19"/>
      <c r="AL9596" s="19"/>
    </row>
    <row r="9597" spans="1:38" s="11" customFormat="1" x14ac:dyDescent="0.25">
      <c r="A9597" s="3"/>
      <c r="F9597" s="19"/>
      <c r="G9597" s="19"/>
      <c r="N9597" s="19"/>
      <c r="P9597" s="19"/>
      <c r="AL9597" s="19"/>
    </row>
    <row r="9598" spans="1:38" s="11" customFormat="1" x14ac:dyDescent="0.25">
      <c r="A9598" s="3"/>
      <c r="F9598" s="19"/>
      <c r="G9598" s="19"/>
      <c r="N9598" s="19"/>
      <c r="P9598" s="19"/>
      <c r="AL9598" s="19"/>
    </row>
    <row r="9599" spans="1:38" s="11" customFormat="1" x14ac:dyDescent="0.25">
      <c r="A9599" s="3"/>
      <c r="F9599" s="19"/>
      <c r="G9599" s="19"/>
      <c r="N9599" s="19"/>
      <c r="P9599" s="19"/>
      <c r="AL9599" s="19"/>
    </row>
    <row r="9600" spans="1:38" s="11" customFormat="1" x14ac:dyDescent="0.25">
      <c r="A9600" s="3"/>
      <c r="F9600" s="19"/>
      <c r="G9600" s="19"/>
      <c r="N9600" s="19"/>
      <c r="P9600" s="19"/>
      <c r="AL9600" s="19"/>
    </row>
    <row r="9601" spans="1:38" s="11" customFormat="1" x14ac:dyDescent="0.25">
      <c r="A9601" s="3"/>
      <c r="F9601" s="19"/>
      <c r="G9601" s="19"/>
      <c r="N9601" s="19"/>
      <c r="P9601" s="19"/>
      <c r="AL9601" s="19"/>
    </row>
    <row r="9602" spans="1:38" s="11" customFormat="1" x14ac:dyDescent="0.25">
      <c r="A9602" s="3"/>
      <c r="F9602" s="19"/>
      <c r="G9602" s="19"/>
      <c r="N9602" s="19"/>
      <c r="P9602" s="19"/>
      <c r="AL9602" s="19"/>
    </row>
    <row r="9603" spans="1:38" s="11" customFormat="1" x14ac:dyDescent="0.25">
      <c r="A9603" s="3"/>
      <c r="F9603" s="19"/>
      <c r="G9603" s="19"/>
      <c r="N9603" s="19"/>
      <c r="P9603" s="19"/>
      <c r="AL9603" s="19"/>
    </row>
    <row r="9604" spans="1:38" s="11" customFormat="1" x14ac:dyDescent="0.25">
      <c r="A9604" s="3"/>
      <c r="F9604" s="19"/>
      <c r="G9604" s="19"/>
      <c r="N9604" s="19"/>
      <c r="P9604" s="19"/>
      <c r="AL9604" s="19"/>
    </row>
    <row r="9605" spans="1:38" s="11" customFormat="1" x14ac:dyDescent="0.25">
      <c r="A9605" s="3"/>
      <c r="F9605" s="19"/>
      <c r="G9605" s="19"/>
      <c r="N9605" s="19"/>
      <c r="P9605" s="19"/>
      <c r="AL9605" s="19"/>
    </row>
    <row r="9606" spans="1:38" s="11" customFormat="1" x14ac:dyDescent="0.25">
      <c r="A9606" s="3"/>
      <c r="F9606" s="19"/>
      <c r="G9606" s="19"/>
      <c r="N9606" s="19"/>
      <c r="P9606" s="19"/>
      <c r="AL9606" s="19"/>
    </row>
    <row r="9607" spans="1:38" s="11" customFormat="1" x14ac:dyDescent="0.25">
      <c r="A9607" s="3"/>
      <c r="F9607" s="19"/>
      <c r="G9607" s="19"/>
      <c r="N9607" s="19"/>
      <c r="P9607" s="19"/>
      <c r="AL9607" s="19"/>
    </row>
    <row r="9608" spans="1:38" s="11" customFormat="1" x14ac:dyDescent="0.25">
      <c r="A9608" s="3"/>
      <c r="F9608" s="19"/>
      <c r="G9608" s="19"/>
      <c r="N9608" s="19"/>
      <c r="P9608" s="19"/>
      <c r="AL9608" s="19"/>
    </row>
    <row r="9609" spans="1:38" s="11" customFormat="1" x14ac:dyDescent="0.25">
      <c r="A9609" s="3"/>
      <c r="F9609" s="19"/>
      <c r="G9609" s="19"/>
      <c r="N9609" s="19"/>
      <c r="P9609" s="19"/>
      <c r="AL9609" s="19"/>
    </row>
    <row r="9610" spans="1:38" s="11" customFormat="1" x14ac:dyDescent="0.25">
      <c r="A9610" s="3"/>
      <c r="F9610" s="19"/>
      <c r="G9610" s="19"/>
      <c r="N9610" s="19"/>
      <c r="P9610" s="19"/>
      <c r="AL9610" s="19"/>
    </row>
    <row r="9611" spans="1:38" s="11" customFormat="1" x14ac:dyDescent="0.25">
      <c r="A9611" s="3"/>
      <c r="F9611" s="19"/>
      <c r="G9611" s="19"/>
      <c r="N9611" s="19"/>
      <c r="P9611" s="19"/>
      <c r="AL9611" s="19"/>
    </row>
    <row r="9612" spans="1:38" s="11" customFormat="1" x14ac:dyDescent="0.25">
      <c r="A9612" s="3"/>
      <c r="F9612" s="19"/>
      <c r="G9612" s="19"/>
      <c r="N9612" s="19"/>
      <c r="P9612" s="19"/>
      <c r="AL9612" s="19"/>
    </row>
    <row r="9613" spans="1:38" s="11" customFormat="1" x14ac:dyDescent="0.25">
      <c r="A9613" s="3"/>
      <c r="F9613" s="19"/>
      <c r="G9613" s="19"/>
      <c r="N9613" s="19"/>
      <c r="P9613" s="19"/>
      <c r="AL9613" s="19"/>
    </row>
    <row r="9614" spans="1:38" s="11" customFormat="1" x14ac:dyDescent="0.25">
      <c r="A9614" s="3"/>
      <c r="F9614" s="19"/>
      <c r="G9614" s="19"/>
      <c r="N9614" s="19"/>
      <c r="P9614" s="19"/>
      <c r="AL9614" s="19"/>
    </row>
    <row r="9615" spans="1:38" s="11" customFormat="1" x14ac:dyDescent="0.25">
      <c r="A9615" s="3"/>
      <c r="F9615" s="19"/>
      <c r="G9615" s="19"/>
      <c r="N9615" s="19"/>
      <c r="P9615" s="19"/>
      <c r="AL9615" s="19"/>
    </row>
    <row r="9616" spans="1:38" s="11" customFormat="1" x14ac:dyDescent="0.25">
      <c r="A9616" s="3"/>
      <c r="F9616" s="19"/>
      <c r="G9616" s="19"/>
      <c r="N9616" s="19"/>
      <c r="P9616" s="19"/>
      <c r="AL9616" s="19"/>
    </row>
    <row r="9617" spans="1:38" s="11" customFormat="1" x14ac:dyDescent="0.25">
      <c r="A9617" s="3"/>
      <c r="F9617" s="19"/>
      <c r="G9617" s="19"/>
      <c r="N9617" s="19"/>
      <c r="P9617" s="19"/>
      <c r="AL9617" s="19"/>
    </row>
    <row r="9618" spans="1:38" s="11" customFormat="1" x14ac:dyDescent="0.25">
      <c r="A9618" s="3"/>
      <c r="F9618" s="19"/>
      <c r="G9618" s="19"/>
      <c r="N9618" s="19"/>
      <c r="P9618" s="19"/>
      <c r="AL9618" s="19"/>
    </row>
    <row r="9619" spans="1:38" s="11" customFormat="1" x14ac:dyDescent="0.25">
      <c r="A9619" s="3"/>
      <c r="F9619" s="19"/>
      <c r="G9619" s="19"/>
      <c r="N9619" s="19"/>
      <c r="P9619" s="19"/>
      <c r="AL9619" s="19"/>
    </row>
    <row r="9620" spans="1:38" s="11" customFormat="1" x14ac:dyDescent="0.25">
      <c r="A9620" s="3"/>
      <c r="F9620" s="19"/>
      <c r="G9620" s="19"/>
      <c r="N9620" s="19"/>
      <c r="P9620" s="19"/>
      <c r="AL9620" s="19"/>
    </row>
    <row r="9621" spans="1:38" s="11" customFormat="1" x14ac:dyDescent="0.25">
      <c r="A9621" s="3"/>
      <c r="F9621" s="19"/>
      <c r="G9621" s="19"/>
      <c r="N9621" s="19"/>
      <c r="P9621" s="19"/>
      <c r="AL9621" s="19"/>
    </row>
    <row r="9622" spans="1:38" s="11" customFormat="1" x14ac:dyDescent="0.25">
      <c r="A9622" s="3"/>
      <c r="F9622" s="19"/>
      <c r="G9622" s="19"/>
      <c r="N9622" s="19"/>
      <c r="P9622" s="19"/>
      <c r="AL9622" s="19"/>
    </row>
    <row r="9623" spans="1:38" s="11" customFormat="1" x14ac:dyDescent="0.25">
      <c r="A9623" s="3"/>
      <c r="F9623" s="19"/>
      <c r="G9623" s="19"/>
      <c r="N9623" s="19"/>
      <c r="P9623" s="19"/>
      <c r="AL9623" s="19"/>
    </row>
    <row r="9624" spans="1:38" s="11" customFormat="1" x14ac:dyDescent="0.25">
      <c r="A9624" s="3"/>
      <c r="F9624" s="19"/>
      <c r="G9624" s="19"/>
      <c r="N9624" s="19"/>
      <c r="P9624" s="19"/>
      <c r="AL9624" s="19"/>
    </row>
    <row r="9625" spans="1:38" s="11" customFormat="1" x14ac:dyDescent="0.25">
      <c r="A9625" s="3"/>
      <c r="F9625" s="19"/>
      <c r="G9625" s="19"/>
      <c r="N9625" s="19"/>
      <c r="P9625" s="19"/>
      <c r="AL9625" s="19"/>
    </row>
    <row r="9626" spans="1:38" s="11" customFormat="1" x14ac:dyDescent="0.25">
      <c r="A9626" s="3"/>
      <c r="F9626" s="19"/>
      <c r="G9626" s="19"/>
      <c r="N9626" s="19"/>
      <c r="P9626" s="19"/>
      <c r="AL9626" s="19"/>
    </row>
    <row r="9627" spans="1:38" s="11" customFormat="1" x14ac:dyDescent="0.25">
      <c r="A9627" s="3"/>
      <c r="F9627" s="19"/>
      <c r="G9627" s="19"/>
      <c r="N9627" s="19"/>
      <c r="P9627" s="19"/>
      <c r="AL9627" s="19"/>
    </row>
    <row r="9628" spans="1:38" s="11" customFormat="1" x14ac:dyDescent="0.25">
      <c r="A9628" s="3"/>
      <c r="F9628" s="19"/>
      <c r="G9628" s="19"/>
      <c r="N9628" s="19"/>
      <c r="P9628" s="19"/>
      <c r="AL9628" s="19"/>
    </row>
    <row r="9629" spans="1:38" s="11" customFormat="1" x14ac:dyDescent="0.25">
      <c r="A9629" s="3"/>
      <c r="F9629" s="19"/>
      <c r="G9629" s="19"/>
      <c r="N9629" s="19"/>
      <c r="P9629" s="19"/>
      <c r="AL9629" s="19"/>
    </row>
    <row r="9630" spans="1:38" s="11" customFormat="1" x14ac:dyDescent="0.25">
      <c r="A9630" s="3"/>
      <c r="F9630" s="19"/>
      <c r="G9630" s="19"/>
      <c r="N9630" s="19"/>
      <c r="P9630" s="19"/>
      <c r="AL9630" s="19"/>
    </row>
    <row r="9631" spans="1:38" s="11" customFormat="1" x14ac:dyDescent="0.25">
      <c r="A9631" s="3"/>
      <c r="F9631" s="19"/>
      <c r="G9631" s="19"/>
      <c r="N9631" s="19"/>
      <c r="P9631" s="19"/>
      <c r="AL9631" s="19"/>
    </row>
    <row r="9632" spans="1:38" s="11" customFormat="1" x14ac:dyDescent="0.25">
      <c r="A9632" s="3"/>
      <c r="F9632" s="19"/>
      <c r="G9632" s="19"/>
      <c r="N9632" s="19"/>
      <c r="P9632" s="19"/>
      <c r="AL9632" s="19"/>
    </row>
    <row r="9633" spans="1:38" s="11" customFormat="1" x14ac:dyDescent="0.25">
      <c r="A9633" s="3"/>
      <c r="F9633" s="19"/>
      <c r="G9633" s="19"/>
      <c r="N9633" s="19"/>
      <c r="P9633" s="19"/>
      <c r="AL9633" s="19"/>
    </row>
    <row r="9634" spans="1:38" s="11" customFormat="1" x14ac:dyDescent="0.25">
      <c r="A9634" s="3"/>
      <c r="F9634" s="19"/>
      <c r="G9634" s="19"/>
      <c r="N9634" s="19"/>
      <c r="P9634" s="19"/>
      <c r="AL9634" s="19"/>
    </row>
    <row r="9635" spans="1:38" s="11" customFormat="1" x14ac:dyDescent="0.25">
      <c r="A9635" s="3"/>
      <c r="F9635" s="19"/>
      <c r="G9635" s="19"/>
      <c r="N9635" s="19"/>
      <c r="P9635" s="19"/>
      <c r="AL9635" s="19"/>
    </row>
    <row r="9636" spans="1:38" s="11" customFormat="1" x14ac:dyDescent="0.25">
      <c r="A9636" s="3"/>
      <c r="F9636" s="19"/>
      <c r="G9636" s="19"/>
      <c r="N9636" s="19"/>
      <c r="P9636" s="19"/>
      <c r="AL9636" s="19"/>
    </row>
    <row r="9637" spans="1:38" s="11" customFormat="1" x14ac:dyDescent="0.25">
      <c r="A9637" s="3"/>
      <c r="F9637" s="19"/>
      <c r="G9637" s="19"/>
      <c r="N9637" s="19"/>
      <c r="P9637" s="19"/>
      <c r="AL9637" s="19"/>
    </row>
    <row r="9638" spans="1:38" s="11" customFormat="1" x14ac:dyDescent="0.25">
      <c r="A9638" s="3"/>
      <c r="F9638" s="19"/>
      <c r="G9638" s="19"/>
      <c r="N9638" s="19"/>
      <c r="P9638" s="19"/>
      <c r="AL9638" s="19"/>
    </row>
    <row r="9639" spans="1:38" s="11" customFormat="1" x14ac:dyDescent="0.25">
      <c r="A9639" s="3"/>
      <c r="F9639" s="19"/>
      <c r="G9639" s="19"/>
      <c r="N9639" s="19"/>
      <c r="P9639" s="19"/>
      <c r="AL9639" s="19"/>
    </row>
    <row r="9640" spans="1:38" s="11" customFormat="1" x14ac:dyDescent="0.25">
      <c r="A9640" s="3"/>
      <c r="F9640" s="19"/>
      <c r="G9640" s="19"/>
      <c r="N9640" s="19"/>
      <c r="P9640" s="19"/>
      <c r="AL9640" s="19"/>
    </row>
    <row r="9641" spans="1:38" s="11" customFormat="1" x14ac:dyDescent="0.25">
      <c r="A9641" s="3"/>
      <c r="F9641" s="19"/>
      <c r="G9641" s="19"/>
      <c r="N9641" s="19"/>
      <c r="P9641" s="19"/>
      <c r="AL9641" s="19"/>
    </row>
    <row r="9642" spans="1:38" s="11" customFormat="1" x14ac:dyDescent="0.25">
      <c r="A9642" s="3"/>
      <c r="F9642" s="19"/>
      <c r="G9642" s="19"/>
      <c r="N9642" s="19"/>
      <c r="P9642" s="19"/>
      <c r="AL9642" s="19"/>
    </row>
    <row r="9643" spans="1:38" s="11" customFormat="1" x14ac:dyDescent="0.25">
      <c r="A9643" s="3"/>
      <c r="F9643" s="19"/>
      <c r="G9643" s="19"/>
      <c r="N9643" s="19"/>
      <c r="P9643" s="19"/>
      <c r="AL9643" s="19"/>
    </row>
    <row r="9644" spans="1:38" s="11" customFormat="1" x14ac:dyDescent="0.25">
      <c r="A9644" s="3"/>
      <c r="F9644" s="19"/>
      <c r="G9644" s="19"/>
      <c r="N9644" s="19"/>
      <c r="P9644" s="19"/>
      <c r="AL9644" s="19"/>
    </row>
    <row r="9645" spans="1:38" s="11" customFormat="1" x14ac:dyDescent="0.25">
      <c r="A9645" s="3"/>
      <c r="F9645" s="19"/>
      <c r="G9645" s="19"/>
      <c r="N9645" s="19"/>
      <c r="P9645" s="19"/>
      <c r="AL9645" s="19"/>
    </row>
    <row r="9646" spans="1:38" s="11" customFormat="1" x14ac:dyDescent="0.25">
      <c r="A9646" s="3"/>
      <c r="F9646" s="19"/>
      <c r="G9646" s="19"/>
      <c r="N9646" s="19"/>
      <c r="P9646" s="19"/>
      <c r="AL9646" s="19"/>
    </row>
    <row r="9647" spans="1:38" s="11" customFormat="1" x14ac:dyDescent="0.25">
      <c r="A9647" s="3"/>
      <c r="F9647" s="19"/>
      <c r="G9647" s="19"/>
      <c r="N9647" s="19"/>
      <c r="P9647" s="19"/>
      <c r="AL9647" s="19"/>
    </row>
    <row r="9648" spans="1:38" s="11" customFormat="1" x14ac:dyDescent="0.25">
      <c r="A9648" s="3"/>
      <c r="F9648" s="19"/>
      <c r="G9648" s="19"/>
      <c r="N9648" s="19"/>
      <c r="P9648" s="19"/>
      <c r="AL9648" s="19"/>
    </row>
    <row r="9649" spans="1:38" s="11" customFormat="1" x14ac:dyDescent="0.25">
      <c r="A9649" s="3"/>
      <c r="F9649" s="19"/>
      <c r="G9649" s="19"/>
      <c r="N9649" s="19"/>
      <c r="P9649" s="19"/>
      <c r="AL9649" s="19"/>
    </row>
    <row r="9650" spans="1:38" s="11" customFormat="1" x14ac:dyDescent="0.25">
      <c r="A9650" s="3"/>
      <c r="F9650" s="19"/>
      <c r="G9650" s="19"/>
      <c r="N9650" s="19"/>
      <c r="P9650" s="19"/>
      <c r="AL9650" s="19"/>
    </row>
    <row r="9651" spans="1:38" s="11" customFormat="1" x14ac:dyDescent="0.25">
      <c r="A9651" s="3"/>
      <c r="F9651" s="19"/>
      <c r="G9651" s="19"/>
      <c r="N9651" s="19"/>
      <c r="P9651" s="19"/>
      <c r="AL9651" s="19"/>
    </row>
    <row r="9652" spans="1:38" s="11" customFormat="1" x14ac:dyDescent="0.25">
      <c r="A9652" s="3"/>
      <c r="F9652" s="19"/>
      <c r="G9652" s="19"/>
      <c r="N9652" s="19"/>
      <c r="P9652" s="19"/>
      <c r="AL9652" s="19"/>
    </row>
    <row r="9653" spans="1:38" s="11" customFormat="1" x14ac:dyDescent="0.25">
      <c r="A9653" s="3"/>
      <c r="F9653" s="19"/>
      <c r="G9653" s="19"/>
      <c r="N9653" s="19"/>
      <c r="P9653" s="19"/>
      <c r="AL9653" s="19"/>
    </row>
    <row r="9654" spans="1:38" s="11" customFormat="1" x14ac:dyDescent="0.25">
      <c r="A9654" s="3"/>
      <c r="F9654" s="19"/>
      <c r="G9654" s="19"/>
      <c r="N9654" s="19"/>
      <c r="P9654" s="19"/>
      <c r="AL9654" s="19"/>
    </row>
    <row r="9655" spans="1:38" s="11" customFormat="1" x14ac:dyDescent="0.25">
      <c r="A9655" s="3"/>
      <c r="F9655" s="19"/>
      <c r="G9655" s="19"/>
      <c r="N9655" s="19"/>
      <c r="P9655" s="19"/>
      <c r="AL9655" s="19"/>
    </row>
    <row r="9656" spans="1:38" s="11" customFormat="1" x14ac:dyDescent="0.25">
      <c r="A9656" s="3"/>
      <c r="F9656" s="19"/>
      <c r="G9656" s="19"/>
      <c r="N9656" s="19"/>
      <c r="P9656" s="19"/>
      <c r="AL9656" s="19"/>
    </row>
    <row r="9657" spans="1:38" s="11" customFormat="1" x14ac:dyDescent="0.25">
      <c r="A9657" s="3"/>
      <c r="F9657" s="19"/>
      <c r="G9657" s="19"/>
      <c r="N9657" s="19"/>
      <c r="P9657" s="19"/>
      <c r="AL9657" s="19"/>
    </row>
    <row r="9658" spans="1:38" s="11" customFormat="1" x14ac:dyDescent="0.25">
      <c r="A9658" s="3"/>
      <c r="F9658" s="19"/>
      <c r="G9658" s="19"/>
      <c r="N9658" s="19"/>
      <c r="P9658" s="19"/>
      <c r="AL9658" s="19"/>
    </row>
    <row r="9659" spans="1:38" s="11" customFormat="1" x14ac:dyDescent="0.25">
      <c r="A9659" s="3"/>
      <c r="F9659" s="19"/>
      <c r="G9659" s="19"/>
      <c r="N9659" s="19"/>
      <c r="P9659" s="19"/>
      <c r="AL9659" s="19"/>
    </row>
    <row r="9660" spans="1:38" s="11" customFormat="1" x14ac:dyDescent="0.25">
      <c r="A9660" s="3"/>
      <c r="F9660" s="19"/>
      <c r="G9660" s="19"/>
      <c r="N9660" s="19"/>
      <c r="P9660" s="19"/>
      <c r="AL9660" s="19"/>
    </row>
    <row r="9661" spans="1:38" s="11" customFormat="1" x14ac:dyDescent="0.25">
      <c r="A9661" s="3"/>
      <c r="F9661" s="19"/>
      <c r="G9661" s="19"/>
      <c r="N9661" s="19"/>
      <c r="P9661" s="19"/>
      <c r="AL9661" s="19"/>
    </row>
    <row r="9662" spans="1:38" s="11" customFormat="1" x14ac:dyDescent="0.25">
      <c r="A9662" s="3"/>
      <c r="F9662" s="19"/>
      <c r="G9662" s="19"/>
      <c r="N9662" s="19"/>
      <c r="P9662" s="19"/>
      <c r="AL9662" s="19"/>
    </row>
    <row r="9663" spans="1:38" s="11" customFormat="1" x14ac:dyDescent="0.25">
      <c r="A9663" s="3"/>
      <c r="F9663" s="19"/>
      <c r="G9663" s="19"/>
      <c r="N9663" s="19"/>
      <c r="P9663" s="19"/>
      <c r="AL9663" s="19"/>
    </row>
    <row r="9664" spans="1:38" s="11" customFormat="1" x14ac:dyDescent="0.25">
      <c r="A9664" s="3"/>
      <c r="F9664" s="19"/>
      <c r="G9664" s="19"/>
      <c r="N9664" s="19"/>
      <c r="P9664" s="19"/>
      <c r="AL9664" s="19"/>
    </row>
    <row r="9665" spans="1:38" s="11" customFormat="1" x14ac:dyDescent="0.25">
      <c r="A9665" s="3"/>
      <c r="F9665" s="19"/>
      <c r="G9665" s="19"/>
      <c r="N9665" s="19"/>
      <c r="P9665" s="19"/>
      <c r="AL9665" s="19"/>
    </row>
    <row r="9666" spans="1:38" s="11" customFormat="1" x14ac:dyDescent="0.25">
      <c r="A9666" s="3"/>
      <c r="F9666" s="19"/>
      <c r="G9666" s="19"/>
      <c r="N9666" s="19"/>
      <c r="P9666" s="19"/>
      <c r="AL9666" s="19"/>
    </row>
    <row r="9667" spans="1:38" s="11" customFormat="1" x14ac:dyDescent="0.25">
      <c r="A9667" s="3"/>
      <c r="F9667" s="19"/>
      <c r="G9667" s="19"/>
      <c r="N9667" s="19"/>
      <c r="P9667" s="19"/>
      <c r="AL9667" s="19"/>
    </row>
    <row r="9668" spans="1:38" s="11" customFormat="1" x14ac:dyDescent="0.25">
      <c r="A9668" s="3"/>
      <c r="F9668" s="19"/>
      <c r="G9668" s="19"/>
      <c r="N9668" s="19"/>
      <c r="P9668" s="19"/>
      <c r="AL9668" s="19"/>
    </row>
    <row r="9669" spans="1:38" s="11" customFormat="1" x14ac:dyDescent="0.25">
      <c r="A9669" s="3"/>
      <c r="F9669" s="19"/>
      <c r="G9669" s="19"/>
      <c r="N9669" s="19"/>
      <c r="P9669" s="19"/>
      <c r="AL9669" s="19"/>
    </row>
    <row r="9670" spans="1:38" s="11" customFormat="1" x14ac:dyDescent="0.25">
      <c r="A9670" s="3"/>
      <c r="F9670" s="19"/>
      <c r="G9670" s="19"/>
      <c r="N9670" s="19"/>
      <c r="P9670" s="19"/>
      <c r="AL9670" s="19"/>
    </row>
    <row r="9671" spans="1:38" s="11" customFormat="1" x14ac:dyDescent="0.25">
      <c r="A9671" s="3"/>
      <c r="F9671" s="19"/>
      <c r="G9671" s="19"/>
      <c r="N9671" s="19"/>
      <c r="P9671" s="19"/>
      <c r="AL9671" s="19"/>
    </row>
    <row r="9672" spans="1:38" s="11" customFormat="1" x14ac:dyDescent="0.25">
      <c r="A9672" s="3"/>
      <c r="F9672" s="19"/>
      <c r="G9672" s="19"/>
      <c r="N9672" s="19"/>
      <c r="P9672" s="19"/>
      <c r="AL9672" s="19"/>
    </row>
    <row r="9673" spans="1:38" s="11" customFormat="1" x14ac:dyDescent="0.25">
      <c r="A9673" s="3"/>
      <c r="F9673" s="19"/>
      <c r="G9673" s="19"/>
      <c r="N9673" s="19"/>
      <c r="P9673" s="19"/>
      <c r="AL9673" s="19"/>
    </row>
    <row r="9674" spans="1:38" s="11" customFormat="1" x14ac:dyDescent="0.25">
      <c r="A9674" s="3"/>
      <c r="F9674" s="19"/>
      <c r="G9674" s="19"/>
      <c r="N9674" s="19"/>
      <c r="P9674" s="19"/>
      <c r="AL9674" s="19"/>
    </row>
    <row r="9675" spans="1:38" s="11" customFormat="1" x14ac:dyDescent="0.25">
      <c r="A9675" s="3"/>
      <c r="F9675" s="19"/>
      <c r="G9675" s="19"/>
      <c r="N9675" s="19"/>
      <c r="P9675" s="19"/>
      <c r="AL9675" s="19"/>
    </row>
    <row r="9676" spans="1:38" s="11" customFormat="1" x14ac:dyDescent="0.25">
      <c r="A9676" s="3"/>
      <c r="F9676" s="19"/>
      <c r="G9676" s="19"/>
      <c r="N9676" s="19"/>
      <c r="P9676" s="19"/>
      <c r="AL9676" s="19"/>
    </row>
    <row r="9677" spans="1:38" s="11" customFormat="1" x14ac:dyDescent="0.25">
      <c r="A9677" s="3"/>
      <c r="F9677" s="19"/>
      <c r="G9677" s="19"/>
      <c r="N9677" s="19"/>
      <c r="P9677" s="19"/>
      <c r="AL9677" s="19"/>
    </row>
    <row r="9678" spans="1:38" s="11" customFormat="1" x14ac:dyDescent="0.25">
      <c r="A9678" s="3"/>
      <c r="F9678" s="19"/>
      <c r="G9678" s="19"/>
      <c r="N9678" s="19"/>
      <c r="P9678" s="19"/>
      <c r="AL9678" s="19"/>
    </row>
    <row r="9679" spans="1:38" s="11" customFormat="1" x14ac:dyDescent="0.25">
      <c r="A9679" s="3"/>
      <c r="F9679" s="19"/>
      <c r="G9679" s="19"/>
      <c r="N9679" s="19"/>
      <c r="P9679" s="19"/>
      <c r="AL9679" s="19"/>
    </row>
    <row r="9680" spans="1:38" s="11" customFormat="1" x14ac:dyDescent="0.25">
      <c r="A9680" s="3"/>
      <c r="F9680" s="19"/>
      <c r="G9680" s="19"/>
      <c r="N9680" s="19"/>
      <c r="P9680" s="19"/>
      <c r="AL9680" s="19"/>
    </row>
    <row r="9681" spans="1:38" s="11" customFormat="1" x14ac:dyDescent="0.25">
      <c r="A9681" s="3"/>
      <c r="F9681" s="19"/>
      <c r="G9681" s="19"/>
      <c r="N9681" s="19"/>
      <c r="P9681" s="19"/>
      <c r="AL9681" s="19"/>
    </row>
    <row r="9682" spans="1:38" s="11" customFormat="1" x14ac:dyDescent="0.25">
      <c r="A9682" s="3"/>
      <c r="F9682" s="19"/>
      <c r="G9682" s="19"/>
      <c r="N9682" s="19"/>
      <c r="P9682" s="19"/>
      <c r="AL9682" s="19"/>
    </row>
    <row r="9683" spans="1:38" s="11" customFormat="1" x14ac:dyDescent="0.25">
      <c r="A9683" s="3"/>
      <c r="F9683" s="19"/>
      <c r="G9683" s="19"/>
      <c r="N9683" s="19"/>
      <c r="P9683" s="19"/>
      <c r="AL9683" s="19"/>
    </row>
    <row r="9684" spans="1:38" s="11" customFormat="1" x14ac:dyDescent="0.25">
      <c r="A9684" s="3"/>
      <c r="F9684" s="19"/>
      <c r="G9684" s="19"/>
      <c r="N9684" s="19"/>
      <c r="P9684" s="19"/>
      <c r="AL9684" s="19"/>
    </row>
    <row r="9685" spans="1:38" s="11" customFormat="1" x14ac:dyDescent="0.25">
      <c r="A9685" s="3"/>
      <c r="F9685" s="19"/>
      <c r="G9685" s="19"/>
      <c r="N9685" s="19"/>
      <c r="P9685" s="19"/>
      <c r="AL9685" s="19"/>
    </row>
    <row r="9686" spans="1:38" s="11" customFormat="1" x14ac:dyDescent="0.25">
      <c r="A9686" s="3"/>
      <c r="F9686" s="19"/>
      <c r="G9686" s="19"/>
      <c r="N9686" s="19"/>
      <c r="P9686" s="19"/>
      <c r="AL9686" s="19"/>
    </row>
    <row r="9687" spans="1:38" s="11" customFormat="1" x14ac:dyDescent="0.25">
      <c r="A9687" s="3"/>
      <c r="F9687" s="19"/>
      <c r="G9687" s="19"/>
      <c r="N9687" s="19"/>
      <c r="P9687" s="19"/>
      <c r="AL9687" s="19"/>
    </row>
    <row r="9688" spans="1:38" s="11" customFormat="1" x14ac:dyDescent="0.25">
      <c r="A9688" s="3"/>
      <c r="F9688" s="19"/>
      <c r="G9688" s="19"/>
      <c r="N9688" s="19"/>
      <c r="P9688" s="19"/>
      <c r="AL9688" s="19"/>
    </row>
    <row r="9689" spans="1:38" s="11" customFormat="1" x14ac:dyDescent="0.25">
      <c r="A9689" s="3"/>
      <c r="F9689" s="19"/>
      <c r="G9689" s="19"/>
      <c r="N9689" s="19"/>
      <c r="P9689" s="19"/>
      <c r="AL9689" s="19"/>
    </row>
    <row r="9690" spans="1:38" s="11" customFormat="1" x14ac:dyDescent="0.25">
      <c r="A9690" s="3"/>
      <c r="F9690" s="19"/>
      <c r="G9690" s="19"/>
      <c r="N9690" s="19"/>
      <c r="P9690" s="19"/>
      <c r="AL9690" s="19"/>
    </row>
    <row r="9691" spans="1:38" s="11" customFormat="1" x14ac:dyDescent="0.25">
      <c r="A9691" s="3"/>
      <c r="F9691" s="19"/>
      <c r="G9691" s="19"/>
      <c r="N9691" s="19"/>
      <c r="P9691" s="19"/>
      <c r="AL9691" s="19"/>
    </row>
    <row r="9692" spans="1:38" s="11" customFormat="1" x14ac:dyDescent="0.25">
      <c r="A9692" s="3"/>
      <c r="F9692" s="19"/>
      <c r="G9692" s="19"/>
      <c r="N9692" s="19"/>
      <c r="P9692" s="19"/>
      <c r="AL9692" s="19"/>
    </row>
    <row r="9693" spans="1:38" s="11" customFormat="1" x14ac:dyDescent="0.25">
      <c r="A9693" s="3"/>
      <c r="F9693" s="19"/>
      <c r="G9693" s="19"/>
      <c r="N9693" s="19"/>
      <c r="P9693" s="19"/>
      <c r="AL9693" s="19"/>
    </row>
    <row r="9694" spans="1:38" s="11" customFormat="1" x14ac:dyDescent="0.25">
      <c r="A9694" s="3"/>
      <c r="F9694" s="19"/>
      <c r="G9694" s="19"/>
      <c r="N9694" s="19"/>
      <c r="P9694" s="19"/>
      <c r="AL9694" s="19"/>
    </row>
    <row r="9695" spans="1:38" s="11" customFormat="1" x14ac:dyDescent="0.25">
      <c r="A9695" s="3"/>
      <c r="F9695" s="19"/>
      <c r="G9695" s="19"/>
      <c r="N9695" s="19"/>
      <c r="P9695" s="19"/>
      <c r="AL9695" s="19"/>
    </row>
    <row r="9696" spans="1:38" s="11" customFormat="1" x14ac:dyDescent="0.25">
      <c r="A9696" s="3"/>
      <c r="F9696" s="19"/>
      <c r="G9696" s="19"/>
      <c r="N9696" s="19"/>
      <c r="P9696" s="19"/>
      <c r="AL9696" s="19"/>
    </row>
    <row r="9697" spans="1:38" s="11" customFormat="1" x14ac:dyDescent="0.25">
      <c r="A9697" s="3"/>
      <c r="F9697" s="19"/>
      <c r="G9697" s="19"/>
      <c r="N9697" s="19"/>
      <c r="P9697" s="19"/>
      <c r="AL9697" s="19"/>
    </row>
    <row r="9698" spans="1:38" s="11" customFormat="1" x14ac:dyDescent="0.25">
      <c r="A9698" s="3"/>
      <c r="F9698" s="19"/>
      <c r="G9698" s="19"/>
      <c r="N9698" s="19"/>
      <c r="P9698" s="19"/>
      <c r="AL9698" s="19"/>
    </row>
    <row r="9699" spans="1:38" s="11" customFormat="1" x14ac:dyDescent="0.25">
      <c r="A9699" s="3"/>
      <c r="F9699" s="19"/>
      <c r="G9699" s="19"/>
      <c r="N9699" s="19"/>
      <c r="P9699" s="19"/>
      <c r="AL9699" s="19"/>
    </row>
    <row r="9700" spans="1:38" s="11" customFormat="1" x14ac:dyDescent="0.25">
      <c r="A9700" s="3"/>
      <c r="F9700" s="19"/>
      <c r="G9700" s="19"/>
      <c r="N9700" s="19"/>
      <c r="P9700" s="19"/>
      <c r="AL9700" s="19"/>
    </row>
    <row r="9701" spans="1:38" s="11" customFormat="1" x14ac:dyDescent="0.25">
      <c r="A9701" s="3"/>
      <c r="F9701" s="19"/>
      <c r="G9701" s="19"/>
      <c r="N9701" s="19"/>
      <c r="P9701" s="19"/>
      <c r="AL9701" s="19"/>
    </row>
    <row r="9702" spans="1:38" s="11" customFormat="1" x14ac:dyDescent="0.25">
      <c r="A9702" s="3"/>
      <c r="F9702" s="19"/>
      <c r="G9702" s="19"/>
      <c r="N9702" s="19"/>
      <c r="P9702" s="19"/>
      <c r="AL9702" s="19"/>
    </row>
    <row r="9703" spans="1:38" s="11" customFormat="1" x14ac:dyDescent="0.25">
      <c r="A9703" s="3"/>
      <c r="F9703" s="19"/>
      <c r="G9703" s="19"/>
      <c r="N9703" s="19"/>
      <c r="P9703" s="19"/>
      <c r="AL9703" s="19"/>
    </row>
    <row r="9704" spans="1:38" s="11" customFormat="1" x14ac:dyDescent="0.25">
      <c r="A9704" s="3"/>
      <c r="F9704" s="19"/>
      <c r="G9704" s="19"/>
      <c r="N9704" s="19"/>
      <c r="P9704" s="19"/>
      <c r="AL9704" s="19"/>
    </row>
    <row r="9705" spans="1:38" s="11" customFormat="1" x14ac:dyDescent="0.25">
      <c r="A9705" s="3"/>
      <c r="F9705" s="19"/>
      <c r="G9705" s="19"/>
      <c r="N9705" s="19"/>
      <c r="P9705" s="19"/>
      <c r="AL9705" s="19"/>
    </row>
    <row r="9706" spans="1:38" s="11" customFormat="1" x14ac:dyDescent="0.25">
      <c r="A9706" s="3"/>
      <c r="F9706" s="19"/>
      <c r="G9706" s="19"/>
      <c r="N9706" s="19"/>
      <c r="P9706" s="19"/>
      <c r="AL9706" s="19"/>
    </row>
    <row r="9707" spans="1:38" s="11" customFormat="1" x14ac:dyDescent="0.25">
      <c r="A9707" s="3"/>
      <c r="F9707" s="19"/>
      <c r="G9707" s="19"/>
      <c r="N9707" s="19"/>
      <c r="P9707" s="19"/>
      <c r="AL9707" s="19"/>
    </row>
    <row r="9708" spans="1:38" s="11" customFormat="1" x14ac:dyDescent="0.25">
      <c r="A9708" s="3"/>
      <c r="F9708" s="19"/>
      <c r="G9708" s="19"/>
      <c r="N9708" s="19"/>
      <c r="P9708" s="19"/>
      <c r="AL9708" s="19"/>
    </row>
    <row r="9709" spans="1:38" s="11" customFormat="1" x14ac:dyDescent="0.25">
      <c r="A9709" s="3"/>
      <c r="F9709" s="19"/>
      <c r="G9709" s="19"/>
      <c r="N9709" s="19"/>
      <c r="P9709" s="19"/>
      <c r="AL9709" s="19"/>
    </row>
    <row r="9710" spans="1:38" s="11" customFormat="1" x14ac:dyDescent="0.25">
      <c r="A9710" s="3"/>
      <c r="F9710" s="19"/>
      <c r="G9710" s="19"/>
      <c r="N9710" s="19"/>
      <c r="P9710" s="19"/>
      <c r="AL9710" s="19"/>
    </row>
    <row r="9711" spans="1:38" s="11" customFormat="1" x14ac:dyDescent="0.25">
      <c r="A9711" s="3"/>
      <c r="F9711" s="19"/>
      <c r="G9711" s="19"/>
      <c r="N9711" s="19"/>
      <c r="P9711" s="19"/>
      <c r="AL9711" s="19"/>
    </row>
    <row r="9712" spans="1:38" s="11" customFormat="1" x14ac:dyDescent="0.25">
      <c r="A9712" s="3"/>
      <c r="F9712" s="19"/>
      <c r="G9712" s="19"/>
      <c r="N9712" s="19"/>
      <c r="P9712" s="19"/>
      <c r="AL9712" s="19"/>
    </row>
    <row r="9713" spans="1:38" s="11" customFormat="1" x14ac:dyDescent="0.25">
      <c r="A9713" s="3"/>
      <c r="F9713" s="19"/>
      <c r="G9713" s="19"/>
      <c r="N9713" s="19"/>
      <c r="P9713" s="19"/>
      <c r="AL9713" s="19"/>
    </row>
    <row r="9714" spans="1:38" s="11" customFormat="1" x14ac:dyDescent="0.25">
      <c r="A9714" s="3"/>
      <c r="F9714" s="19"/>
      <c r="G9714" s="19"/>
      <c r="N9714" s="19"/>
      <c r="P9714" s="19"/>
      <c r="AL9714" s="19"/>
    </row>
    <row r="9715" spans="1:38" s="11" customFormat="1" x14ac:dyDescent="0.25">
      <c r="A9715" s="3"/>
      <c r="F9715" s="19"/>
      <c r="G9715" s="19"/>
      <c r="N9715" s="19"/>
      <c r="P9715" s="19"/>
      <c r="AL9715" s="19"/>
    </row>
    <row r="9716" spans="1:38" s="11" customFormat="1" x14ac:dyDescent="0.25">
      <c r="A9716" s="3"/>
      <c r="F9716" s="19"/>
      <c r="G9716" s="19"/>
      <c r="N9716" s="19"/>
      <c r="P9716" s="19"/>
      <c r="AL9716" s="19"/>
    </row>
    <row r="9717" spans="1:38" s="11" customFormat="1" x14ac:dyDescent="0.25">
      <c r="A9717" s="3"/>
      <c r="F9717" s="19"/>
      <c r="G9717" s="19"/>
      <c r="N9717" s="19"/>
      <c r="P9717" s="19"/>
      <c r="AL9717" s="19"/>
    </row>
    <row r="9718" spans="1:38" s="11" customFormat="1" x14ac:dyDescent="0.25">
      <c r="A9718" s="3"/>
      <c r="F9718" s="19"/>
      <c r="G9718" s="19"/>
      <c r="N9718" s="19"/>
      <c r="P9718" s="19"/>
      <c r="AL9718" s="19"/>
    </row>
    <row r="9719" spans="1:38" s="11" customFormat="1" x14ac:dyDescent="0.25">
      <c r="A9719" s="3"/>
      <c r="F9719" s="19"/>
      <c r="G9719" s="19"/>
      <c r="N9719" s="19"/>
      <c r="P9719" s="19"/>
      <c r="AL9719" s="19"/>
    </row>
    <row r="9720" spans="1:38" s="11" customFormat="1" x14ac:dyDescent="0.25">
      <c r="A9720" s="3"/>
      <c r="F9720" s="19"/>
      <c r="G9720" s="19"/>
      <c r="N9720" s="19"/>
      <c r="P9720" s="19"/>
      <c r="AL9720" s="19"/>
    </row>
    <row r="9721" spans="1:38" s="11" customFormat="1" x14ac:dyDescent="0.25">
      <c r="A9721" s="3"/>
      <c r="F9721" s="19"/>
      <c r="G9721" s="19"/>
      <c r="N9721" s="19"/>
      <c r="P9721" s="19"/>
      <c r="AL9721" s="19"/>
    </row>
    <row r="9722" spans="1:38" s="11" customFormat="1" x14ac:dyDescent="0.25">
      <c r="A9722" s="3"/>
      <c r="F9722" s="19"/>
      <c r="G9722" s="19"/>
      <c r="N9722" s="19"/>
      <c r="P9722" s="19"/>
      <c r="AL9722" s="19"/>
    </row>
    <row r="9723" spans="1:38" s="11" customFormat="1" x14ac:dyDescent="0.25">
      <c r="A9723" s="3"/>
      <c r="F9723" s="19"/>
      <c r="G9723" s="19"/>
      <c r="N9723" s="19"/>
      <c r="P9723" s="19"/>
      <c r="AL9723" s="19"/>
    </row>
    <row r="9724" spans="1:38" s="11" customFormat="1" x14ac:dyDescent="0.25">
      <c r="A9724" s="3"/>
      <c r="F9724" s="19"/>
      <c r="G9724" s="19"/>
      <c r="N9724" s="19"/>
      <c r="P9724" s="19"/>
      <c r="AL9724" s="19"/>
    </row>
    <row r="9725" spans="1:38" s="11" customFormat="1" x14ac:dyDescent="0.25">
      <c r="A9725" s="3"/>
      <c r="F9725" s="19"/>
      <c r="G9725" s="19"/>
      <c r="N9725" s="19"/>
      <c r="P9725" s="19"/>
      <c r="AL9725" s="19"/>
    </row>
    <row r="9726" spans="1:38" s="11" customFormat="1" x14ac:dyDescent="0.25">
      <c r="A9726" s="3"/>
      <c r="F9726" s="19"/>
      <c r="G9726" s="19"/>
      <c r="N9726" s="19"/>
      <c r="P9726" s="19"/>
      <c r="AL9726" s="19"/>
    </row>
    <row r="9727" spans="1:38" s="11" customFormat="1" x14ac:dyDescent="0.25">
      <c r="A9727" s="3"/>
      <c r="F9727" s="19"/>
      <c r="G9727" s="19"/>
      <c r="N9727" s="19"/>
      <c r="P9727" s="19"/>
      <c r="AL9727" s="19"/>
    </row>
    <row r="9728" spans="1:38" s="11" customFormat="1" x14ac:dyDescent="0.25">
      <c r="A9728" s="3"/>
      <c r="F9728" s="19"/>
      <c r="G9728" s="19"/>
      <c r="N9728" s="19"/>
      <c r="P9728" s="19"/>
      <c r="AL9728" s="19"/>
    </row>
    <row r="9729" spans="1:38" s="11" customFormat="1" x14ac:dyDescent="0.25">
      <c r="A9729" s="3"/>
      <c r="F9729" s="19"/>
      <c r="G9729" s="19"/>
      <c r="N9729" s="19"/>
      <c r="P9729" s="19"/>
      <c r="AL9729" s="19"/>
    </row>
    <row r="9730" spans="1:38" s="11" customFormat="1" x14ac:dyDescent="0.25">
      <c r="A9730" s="3"/>
      <c r="F9730" s="19"/>
      <c r="G9730" s="19"/>
      <c r="N9730" s="19"/>
      <c r="P9730" s="19"/>
      <c r="AL9730" s="19"/>
    </row>
    <row r="9731" spans="1:38" s="11" customFormat="1" x14ac:dyDescent="0.25">
      <c r="A9731" s="3"/>
      <c r="F9731" s="19"/>
      <c r="G9731" s="19"/>
      <c r="N9731" s="19"/>
      <c r="P9731" s="19"/>
      <c r="AL9731" s="19"/>
    </row>
    <row r="9732" spans="1:38" s="11" customFormat="1" x14ac:dyDescent="0.25">
      <c r="A9732" s="3"/>
      <c r="F9732" s="19"/>
      <c r="G9732" s="19"/>
      <c r="N9732" s="19"/>
      <c r="P9732" s="19"/>
      <c r="AL9732" s="19"/>
    </row>
    <row r="9733" spans="1:38" s="11" customFormat="1" x14ac:dyDescent="0.25">
      <c r="A9733" s="3"/>
      <c r="F9733" s="19"/>
      <c r="G9733" s="19"/>
      <c r="N9733" s="19"/>
      <c r="P9733" s="19"/>
      <c r="AL9733" s="19"/>
    </row>
    <row r="9734" spans="1:38" s="11" customFormat="1" x14ac:dyDescent="0.25">
      <c r="A9734" s="3"/>
      <c r="F9734" s="19"/>
      <c r="G9734" s="19"/>
      <c r="N9734" s="19"/>
      <c r="P9734" s="19"/>
      <c r="AL9734" s="19"/>
    </row>
    <row r="9735" spans="1:38" s="11" customFormat="1" x14ac:dyDescent="0.25">
      <c r="A9735" s="3"/>
      <c r="F9735" s="19"/>
      <c r="G9735" s="19"/>
      <c r="N9735" s="19"/>
      <c r="P9735" s="19"/>
      <c r="AL9735" s="19"/>
    </row>
    <row r="9736" spans="1:38" s="11" customFormat="1" x14ac:dyDescent="0.25">
      <c r="A9736" s="3"/>
      <c r="F9736" s="19"/>
      <c r="G9736" s="19"/>
      <c r="N9736" s="19"/>
      <c r="P9736" s="19"/>
      <c r="AL9736" s="19"/>
    </row>
    <row r="9737" spans="1:38" s="11" customFormat="1" x14ac:dyDescent="0.25">
      <c r="A9737" s="3"/>
      <c r="F9737" s="19"/>
      <c r="G9737" s="19"/>
      <c r="N9737" s="19"/>
      <c r="P9737" s="19"/>
      <c r="AL9737" s="19"/>
    </row>
    <row r="9738" spans="1:38" s="11" customFormat="1" x14ac:dyDescent="0.25">
      <c r="A9738" s="3"/>
      <c r="F9738" s="19"/>
      <c r="G9738" s="19"/>
      <c r="N9738" s="19"/>
      <c r="P9738" s="19"/>
      <c r="AL9738" s="19"/>
    </row>
    <row r="9739" spans="1:38" s="11" customFormat="1" x14ac:dyDescent="0.25">
      <c r="A9739" s="3"/>
      <c r="F9739" s="19"/>
      <c r="G9739" s="19"/>
      <c r="N9739" s="19"/>
      <c r="P9739" s="19"/>
      <c r="AL9739" s="19"/>
    </row>
    <row r="9740" spans="1:38" s="11" customFormat="1" x14ac:dyDescent="0.25">
      <c r="A9740" s="3"/>
      <c r="F9740" s="19"/>
      <c r="G9740" s="19"/>
      <c r="N9740" s="19"/>
      <c r="P9740" s="19"/>
      <c r="AL9740" s="19"/>
    </row>
    <row r="9741" spans="1:38" s="11" customFormat="1" x14ac:dyDescent="0.25">
      <c r="A9741" s="3"/>
      <c r="F9741" s="19"/>
      <c r="G9741" s="19"/>
      <c r="N9741" s="19"/>
      <c r="P9741" s="19"/>
      <c r="AL9741" s="19"/>
    </row>
    <row r="9742" spans="1:38" s="11" customFormat="1" x14ac:dyDescent="0.25">
      <c r="A9742" s="3"/>
      <c r="F9742" s="19"/>
      <c r="G9742" s="19"/>
      <c r="N9742" s="19"/>
      <c r="P9742" s="19"/>
      <c r="AL9742" s="19"/>
    </row>
    <row r="9743" spans="1:38" s="11" customFormat="1" x14ac:dyDescent="0.25">
      <c r="A9743" s="3"/>
      <c r="F9743" s="19"/>
      <c r="G9743" s="19"/>
      <c r="N9743" s="19"/>
      <c r="P9743" s="19"/>
      <c r="AL9743" s="19"/>
    </row>
    <row r="9744" spans="1:38" s="11" customFormat="1" x14ac:dyDescent="0.25">
      <c r="A9744" s="3"/>
      <c r="F9744" s="19"/>
      <c r="G9744" s="19"/>
      <c r="N9744" s="19"/>
      <c r="P9744" s="19"/>
      <c r="AL9744" s="19"/>
    </row>
    <row r="9745" spans="1:38" s="11" customFormat="1" x14ac:dyDescent="0.25">
      <c r="A9745" s="3"/>
      <c r="F9745" s="19"/>
      <c r="G9745" s="19"/>
      <c r="N9745" s="19"/>
      <c r="P9745" s="19"/>
      <c r="AL9745" s="19"/>
    </row>
    <row r="9746" spans="1:38" s="11" customFormat="1" x14ac:dyDescent="0.25">
      <c r="A9746" s="3"/>
      <c r="F9746" s="19"/>
      <c r="G9746" s="19"/>
      <c r="N9746" s="19"/>
      <c r="P9746" s="19"/>
      <c r="AL9746" s="19"/>
    </row>
    <row r="9747" spans="1:38" s="11" customFormat="1" x14ac:dyDescent="0.25">
      <c r="A9747" s="3"/>
      <c r="F9747" s="19"/>
      <c r="G9747" s="19"/>
      <c r="N9747" s="19"/>
      <c r="P9747" s="19"/>
      <c r="AL9747" s="19"/>
    </row>
    <row r="9748" spans="1:38" s="11" customFormat="1" x14ac:dyDescent="0.25">
      <c r="A9748" s="3"/>
      <c r="F9748" s="19"/>
      <c r="G9748" s="19"/>
      <c r="N9748" s="19"/>
      <c r="P9748" s="19"/>
      <c r="AL9748" s="19"/>
    </row>
    <row r="9749" spans="1:38" s="11" customFormat="1" x14ac:dyDescent="0.25">
      <c r="A9749" s="3"/>
      <c r="F9749" s="19"/>
      <c r="G9749" s="19"/>
      <c r="N9749" s="19"/>
      <c r="P9749" s="19"/>
      <c r="AL9749" s="19"/>
    </row>
    <row r="9750" spans="1:38" s="11" customFormat="1" x14ac:dyDescent="0.25">
      <c r="A9750" s="3"/>
      <c r="F9750" s="19"/>
      <c r="G9750" s="19"/>
      <c r="N9750" s="19"/>
      <c r="P9750" s="19"/>
      <c r="AL9750" s="19"/>
    </row>
    <row r="9751" spans="1:38" s="11" customFormat="1" x14ac:dyDescent="0.25">
      <c r="A9751" s="3"/>
      <c r="F9751" s="19"/>
      <c r="G9751" s="19"/>
      <c r="N9751" s="19"/>
      <c r="P9751" s="19"/>
      <c r="AL9751" s="19"/>
    </row>
    <row r="9752" spans="1:38" s="11" customFormat="1" x14ac:dyDescent="0.25">
      <c r="A9752" s="3"/>
      <c r="F9752" s="19"/>
      <c r="G9752" s="19"/>
      <c r="N9752" s="19"/>
      <c r="P9752" s="19"/>
      <c r="AL9752" s="19"/>
    </row>
    <row r="9753" spans="1:38" s="11" customFormat="1" x14ac:dyDescent="0.25">
      <c r="A9753" s="3"/>
      <c r="F9753" s="19"/>
      <c r="G9753" s="19"/>
      <c r="N9753" s="19"/>
      <c r="P9753" s="19"/>
      <c r="AL9753" s="19"/>
    </row>
    <row r="9754" spans="1:38" s="11" customFormat="1" x14ac:dyDescent="0.25">
      <c r="A9754" s="3"/>
      <c r="F9754" s="19"/>
      <c r="G9754" s="19"/>
      <c r="N9754" s="19"/>
      <c r="P9754" s="19"/>
      <c r="AL9754" s="19"/>
    </row>
    <row r="9755" spans="1:38" s="11" customFormat="1" x14ac:dyDescent="0.25">
      <c r="A9755" s="3"/>
      <c r="F9755" s="19"/>
      <c r="G9755" s="19"/>
      <c r="N9755" s="19"/>
      <c r="P9755" s="19"/>
      <c r="AL9755" s="19"/>
    </row>
    <row r="9756" spans="1:38" s="11" customFormat="1" x14ac:dyDescent="0.25">
      <c r="A9756" s="3"/>
      <c r="F9756" s="19"/>
      <c r="G9756" s="19"/>
      <c r="N9756" s="19"/>
      <c r="P9756" s="19"/>
      <c r="AL9756" s="19"/>
    </row>
    <row r="9757" spans="1:38" s="11" customFormat="1" x14ac:dyDescent="0.25">
      <c r="A9757" s="3"/>
      <c r="F9757" s="19"/>
      <c r="G9757" s="19"/>
      <c r="N9757" s="19"/>
      <c r="P9757" s="19"/>
      <c r="AL9757" s="19"/>
    </row>
    <row r="9758" spans="1:38" s="11" customFormat="1" x14ac:dyDescent="0.25">
      <c r="A9758" s="3"/>
      <c r="F9758" s="19"/>
      <c r="G9758" s="19"/>
      <c r="N9758" s="19"/>
      <c r="P9758" s="19"/>
      <c r="AL9758" s="19"/>
    </row>
    <row r="9759" spans="1:38" s="11" customFormat="1" x14ac:dyDescent="0.25">
      <c r="A9759" s="3"/>
      <c r="F9759" s="19"/>
      <c r="G9759" s="19"/>
      <c r="N9759" s="19"/>
      <c r="P9759" s="19"/>
      <c r="AL9759" s="19"/>
    </row>
    <row r="9760" spans="1:38" s="11" customFormat="1" x14ac:dyDescent="0.25">
      <c r="A9760" s="3"/>
      <c r="F9760" s="19"/>
      <c r="G9760" s="19"/>
      <c r="N9760" s="19"/>
      <c r="P9760" s="19"/>
      <c r="AL9760" s="19"/>
    </row>
    <row r="9761" spans="1:38" s="11" customFormat="1" x14ac:dyDescent="0.25">
      <c r="A9761" s="3"/>
      <c r="F9761" s="19"/>
      <c r="G9761" s="19"/>
      <c r="N9761" s="19"/>
      <c r="P9761" s="19"/>
      <c r="AL9761" s="19"/>
    </row>
    <row r="9762" spans="1:38" s="11" customFormat="1" x14ac:dyDescent="0.25">
      <c r="A9762" s="3"/>
      <c r="F9762" s="19"/>
      <c r="G9762" s="19"/>
      <c r="N9762" s="19"/>
      <c r="P9762" s="19"/>
      <c r="AL9762" s="19"/>
    </row>
    <row r="9763" spans="1:38" s="11" customFormat="1" x14ac:dyDescent="0.25">
      <c r="A9763" s="3"/>
      <c r="F9763" s="19"/>
      <c r="G9763" s="19"/>
      <c r="N9763" s="19"/>
      <c r="P9763" s="19"/>
      <c r="AL9763" s="19"/>
    </row>
    <row r="9764" spans="1:38" s="11" customFormat="1" x14ac:dyDescent="0.25">
      <c r="A9764" s="3"/>
      <c r="F9764" s="19"/>
      <c r="G9764" s="19"/>
      <c r="N9764" s="19"/>
      <c r="P9764" s="19"/>
      <c r="AL9764" s="19"/>
    </row>
    <row r="9765" spans="1:38" s="11" customFormat="1" x14ac:dyDescent="0.25">
      <c r="A9765" s="3"/>
      <c r="F9765" s="19"/>
      <c r="G9765" s="19"/>
      <c r="N9765" s="19"/>
      <c r="P9765" s="19"/>
      <c r="AL9765" s="19"/>
    </row>
    <row r="9766" spans="1:38" s="11" customFormat="1" x14ac:dyDescent="0.25">
      <c r="A9766" s="3"/>
      <c r="F9766" s="19"/>
      <c r="G9766" s="19"/>
      <c r="N9766" s="19"/>
      <c r="P9766" s="19"/>
      <c r="AL9766" s="19"/>
    </row>
    <row r="9767" spans="1:38" s="11" customFormat="1" x14ac:dyDescent="0.25">
      <c r="A9767" s="3"/>
      <c r="F9767" s="19"/>
      <c r="G9767" s="19"/>
      <c r="N9767" s="19"/>
      <c r="P9767" s="19"/>
      <c r="AL9767" s="19"/>
    </row>
    <row r="9768" spans="1:38" s="11" customFormat="1" x14ac:dyDescent="0.25">
      <c r="A9768" s="3"/>
      <c r="F9768" s="19"/>
      <c r="G9768" s="19"/>
      <c r="N9768" s="19"/>
      <c r="P9768" s="19"/>
      <c r="AL9768" s="19"/>
    </row>
    <row r="9769" spans="1:38" s="11" customFormat="1" x14ac:dyDescent="0.25">
      <c r="A9769" s="3"/>
      <c r="F9769" s="19"/>
      <c r="G9769" s="19"/>
      <c r="N9769" s="19"/>
      <c r="P9769" s="19"/>
      <c r="AL9769" s="19"/>
    </row>
    <row r="9770" spans="1:38" s="11" customFormat="1" x14ac:dyDescent="0.25">
      <c r="A9770" s="3"/>
      <c r="F9770" s="19"/>
      <c r="G9770" s="19"/>
      <c r="N9770" s="19"/>
      <c r="P9770" s="19"/>
      <c r="AL9770" s="19"/>
    </row>
    <row r="9771" spans="1:38" s="11" customFormat="1" x14ac:dyDescent="0.25">
      <c r="A9771" s="3"/>
      <c r="F9771" s="19"/>
      <c r="G9771" s="19"/>
      <c r="N9771" s="19"/>
      <c r="P9771" s="19"/>
      <c r="AL9771" s="19"/>
    </row>
    <row r="9772" spans="1:38" s="11" customFormat="1" x14ac:dyDescent="0.25">
      <c r="A9772" s="3"/>
      <c r="F9772" s="19"/>
      <c r="G9772" s="19"/>
      <c r="N9772" s="19"/>
      <c r="P9772" s="19"/>
      <c r="AL9772" s="19"/>
    </row>
    <row r="9773" spans="1:38" s="11" customFormat="1" x14ac:dyDescent="0.25">
      <c r="A9773" s="3"/>
      <c r="F9773" s="19"/>
      <c r="G9773" s="19"/>
      <c r="N9773" s="19"/>
      <c r="P9773" s="19"/>
      <c r="AL9773" s="19"/>
    </row>
    <row r="9774" spans="1:38" s="11" customFormat="1" x14ac:dyDescent="0.25">
      <c r="A9774" s="3"/>
      <c r="F9774" s="19"/>
      <c r="G9774" s="19"/>
      <c r="N9774" s="19"/>
      <c r="P9774" s="19"/>
      <c r="AL9774" s="19"/>
    </row>
    <row r="9775" spans="1:38" s="11" customFormat="1" x14ac:dyDescent="0.25">
      <c r="A9775" s="3"/>
      <c r="F9775" s="19"/>
      <c r="G9775" s="19"/>
      <c r="N9775" s="19"/>
      <c r="P9775" s="19"/>
      <c r="AL9775" s="19"/>
    </row>
    <row r="9776" spans="1:38" s="11" customFormat="1" x14ac:dyDescent="0.25">
      <c r="A9776" s="3"/>
      <c r="F9776" s="19"/>
      <c r="G9776" s="19"/>
      <c r="N9776" s="19"/>
      <c r="P9776" s="19"/>
      <c r="AL9776" s="19"/>
    </row>
    <row r="9777" spans="1:38" s="11" customFormat="1" x14ac:dyDescent="0.25">
      <c r="A9777" s="3"/>
      <c r="F9777" s="19"/>
      <c r="G9777" s="19"/>
      <c r="N9777" s="19"/>
      <c r="P9777" s="19"/>
      <c r="AL9777" s="19"/>
    </row>
    <row r="9778" spans="1:38" s="11" customFormat="1" x14ac:dyDescent="0.25">
      <c r="A9778" s="3"/>
      <c r="F9778" s="19"/>
      <c r="G9778" s="19"/>
      <c r="N9778" s="19"/>
      <c r="P9778" s="19"/>
      <c r="AL9778" s="19"/>
    </row>
    <row r="9779" spans="1:38" s="11" customFormat="1" x14ac:dyDescent="0.25">
      <c r="A9779" s="3"/>
      <c r="F9779" s="19"/>
      <c r="G9779" s="19"/>
      <c r="N9779" s="19"/>
      <c r="P9779" s="19"/>
      <c r="AL9779" s="19"/>
    </row>
    <row r="9780" spans="1:38" s="11" customFormat="1" x14ac:dyDescent="0.25">
      <c r="A9780" s="3"/>
      <c r="F9780" s="19"/>
      <c r="G9780" s="19"/>
      <c r="N9780" s="19"/>
      <c r="P9780" s="19"/>
      <c r="AL9780" s="19"/>
    </row>
    <row r="9781" spans="1:38" s="11" customFormat="1" x14ac:dyDescent="0.25">
      <c r="A9781" s="3"/>
      <c r="F9781" s="19"/>
      <c r="G9781" s="19"/>
      <c r="N9781" s="19"/>
      <c r="P9781" s="19"/>
      <c r="AL9781" s="19"/>
    </row>
    <row r="9782" spans="1:38" s="11" customFormat="1" x14ac:dyDescent="0.25">
      <c r="A9782" s="3"/>
      <c r="F9782" s="19"/>
      <c r="G9782" s="19"/>
      <c r="N9782" s="19"/>
      <c r="P9782" s="19"/>
      <c r="AL9782" s="19"/>
    </row>
    <row r="9783" spans="1:38" s="11" customFormat="1" x14ac:dyDescent="0.25">
      <c r="A9783" s="3"/>
      <c r="F9783" s="19"/>
      <c r="G9783" s="19"/>
      <c r="N9783" s="19"/>
      <c r="P9783" s="19"/>
      <c r="AL9783" s="19"/>
    </row>
    <row r="9784" spans="1:38" s="11" customFormat="1" x14ac:dyDescent="0.25">
      <c r="A9784" s="3"/>
      <c r="F9784" s="19"/>
      <c r="G9784" s="19"/>
      <c r="N9784" s="19"/>
      <c r="P9784" s="19"/>
      <c r="AL9784" s="19"/>
    </row>
    <row r="9785" spans="1:38" s="11" customFormat="1" x14ac:dyDescent="0.25">
      <c r="A9785" s="3"/>
      <c r="F9785" s="19"/>
      <c r="G9785" s="19"/>
      <c r="N9785" s="19"/>
      <c r="P9785" s="19"/>
      <c r="AL9785" s="19"/>
    </row>
    <row r="9786" spans="1:38" s="11" customFormat="1" x14ac:dyDescent="0.25">
      <c r="A9786" s="3"/>
      <c r="F9786" s="19"/>
      <c r="G9786" s="19"/>
      <c r="N9786" s="19"/>
      <c r="P9786" s="19"/>
      <c r="AL9786" s="19"/>
    </row>
    <row r="9787" spans="1:38" s="11" customFormat="1" x14ac:dyDescent="0.25">
      <c r="A9787" s="3"/>
      <c r="F9787" s="19"/>
      <c r="G9787" s="19"/>
      <c r="N9787" s="19"/>
      <c r="P9787" s="19"/>
      <c r="AL9787" s="19"/>
    </row>
    <row r="9788" spans="1:38" s="11" customFormat="1" x14ac:dyDescent="0.25">
      <c r="A9788" s="3"/>
      <c r="F9788" s="19"/>
      <c r="G9788" s="19"/>
      <c r="N9788" s="19"/>
      <c r="P9788" s="19"/>
      <c r="AL9788" s="19"/>
    </row>
    <row r="9789" spans="1:38" s="11" customFormat="1" x14ac:dyDescent="0.25">
      <c r="A9789" s="3"/>
      <c r="F9789" s="19"/>
      <c r="G9789" s="19"/>
      <c r="N9789" s="19"/>
      <c r="P9789" s="19"/>
      <c r="AL9789" s="19"/>
    </row>
    <row r="9790" spans="1:38" s="11" customFormat="1" x14ac:dyDescent="0.25">
      <c r="A9790" s="3"/>
      <c r="F9790" s="19"/>
      <c r="G9790" s="19"/>
      <c r="N9790" s="19"/>
      <c r="P9790" s="19"/>
      <c r="AL9790" s="19"/>
    </row>
    <row r="9791" spans="1:38" s="11" customFormat="1" x14ac:dyDescent="0.25">
      <c r="A9791" s="3"/>
      <c r="F9791" s="19"/>
      <c r="G9791" s="19"/>
      <c r="N9791" s="19"/>
      <c r="P9791" s="19"/>
      <c r="AL9791" s="19"/>
    </row>
    <row r="9792" spans="1:38" s="11" customFormat="1" x14ac:dyDescent="0.25">
      <c r="A9792" s="3"/>
      <c r="F9792" s="19"/>
      <c r="G9792" s="19"/>
      <c r="N9792" s="19"/>
      <c r="P9792" s="19"/>
      <c r="AL9792" s="19"/>
    </row>
    <row r="9793" spans="1:38" s="11" customFormat="1" x14ac:dyDescent="0.25">
      <c r="A9793" s="3"/>
      <c r="F9793" s="19"/>
      <c r="G9793" s="19"/>
      <c r="N9793" s="19"/>
      <c r="P9793" s="19"/>
      <c r="AL9793" s="19"/>
    </row>
    <row r="9794" spans="1:38" s="11" customFormat="1" x14ac:dyDescent="0.25">
      <c r="A9794" s="3"/>
      <c r="F9794" s="19"/>
      <c r="G9794" s="19"/>
      <c r="N9794" s="19"/>
      <c r="P9794" s="19"/>
      <c r="AL9794" s="19"/>
    </row>
    <row r="9795" spans="1:38" s="11" customFormat="1" x14ac:dyDescent="0.25">
      <c r="A9795" s="3"/>
      <c r="F9795" s="19"/>
      <c r="G9795" s="19"/>
      <c r="N9795" s="19"/>
      <c r="P9795" s="19"/>
      <c r="AL9795" s="19"/>
    </row>
    <row r="9796" spans="1:38" s="11" customFormat="1" x14ac:dyDescent="0.25">
      <c r="A9796" s="3"/>
      <c r="F9796" s="19"/>
      <c r="G9796" s="19"/>
      <c r="N9796" s="19"/>
      <c r="P9796" s="19"/>
      <c r="AL9796" s="19"/>
    </row>
    <row r="9797" spans="1:38" s="11" customFormat="1" x14ac:dyDescent="0.25">
      <c r="A9797" s="3"/>
      <c r="F9797" s="19"/>
      <c r="G9797" s="19"/>
      <c r="N9797" s="19"/>
      <c r="P9797" s="19"/>
      <c r="AL9797" s="19"/>
    </row>
    <row r="9798" spans="1:38" s="11" customFormat="1" x14ac:dyDescent="0.25">
      <c r="A9798" s="3"/>
      <c r="F9798" s="19"/>
      <c r="G9798" s="19"/>
      <c r="N9798" s="19"/>
      <c r="P9798" s="19"/>
      <c r="AL9798" s="19"/>
    </row>
    <row r="9799" spans="1:38" s="11" customFormat="1" x14ac:dyDescent="0.25">
      <c r="A9799" s="3"/>
      <c r="F9799" s="19"/>
      <c r="G9799" s="19"/>
      <c r="N9799" s="19"/>
      <c r="P9799" s="19"/>
      <c r="AL9799" s="19"/>
    </row>
    <row r="9800" spans="1:38" s="11" customFormat="1" x14ac:dyDescent="0.25">
      <c r="A9800" s="3"/>
      <c r="F9800" s="19"/>
      <c r="G9800" s="19"/>
      <c r="N9800" s="19"/>
      <c r="P9800" s="19"/>
      <c r="AL9800" s="19"/>
    </row>
    <row r="9801" spans="1:38" s="11" customFormat="1" x14ac:dyDescent="0.25">
      <c r="A9801" s="3"/>
      <c r="F9801" s="19"/>
      <c r="G9801" s="19"/>
      <c r="N9801" s="19"/>
      <c r="P9801" s="19"/>
      <c r="AL9801" s="19"/>
    </row>
    <row r="9802" spans="1:38" s="11" customFormat="1" x14ac:dyDescent="0.25">
      <c r="A9802" s="3"/>
      <c r="F9802" s="19"/>
      <c r="G9802" s="19"/>
      <c r="N9802" s="19"/>
      <c r="P9802" s="19"/>
      <c r="AL9802" s="19"/>
    </row>
    <row r="9803" spans="1:38" s="11" customFormat="1" x14ac:dyDescent="0.25">
      <c r="A9803" s="3"/>
      <c r="F9803" s="19"/>
      <c r="G9803" s="19"/>
      <c r="N9803" s="19"/>
      <c r="P9803" s="19"/>
      <c r="AL9803" s="19"/>
    </row>
    <row r="9804" spans="1:38" s="11" customFormat="1" x14ac:dyDescent="0.25">
      <c r="A9804" s="3"/>
      <c r="F9804" s="19"/>
      <c r="G9804" s="19"/>
      <c r="N9804" s="19"/>
      <c r="P9804" s="19"/>
      <c r="AL9804" s="19"/>
    </row>
    <row r="9805" spans="1:38" s="11" customFormat="1" x14ac:dyDescent="0.25">
      <c r="A9805" s="3"/>
      <c r="F9805" s="19"/>
      <c r="G9805" s="19"/>
      <c r="N9805" s="19"/>
      <c r="P9805" s="19"/>
      <c r="AL9805" s="19"/>
    </row>
    <row r="9806" spans="1:38" s="11" customFormat="1" x14ac:dyDescent="0.25">
      <c r="A9806" s="3"/>
      <c r="F9806" s="19"/>
      <c r="G9806" s="19"/>
      <c r="N9806" s="19"/>
      <c r="P9806" s="19"/>
      <c r="AL9806" s="19"/>
    </row>
    <row r="9807" spans="1:38" s="11" customFormat="1" x14ac:dyDescent="0.25">
      <c r="A9807" s="3"/>
      <c r="F9807" s="19"/>
      <c r="G9807" s="19"/>
      <c r="N9807" s="19"/>
      <c r="P9807" s="19"/>
      <c r="AL9807" s="19"/>
    </row>
    <row r="9808" spans="1:38" s="11" customFormat="1" x14ac:dyDescent="0.25">
      <c r="A9808" s="3"/>
      <c r="F9808" s="19"/>
      <c r="G9808" s="19"/>
      <c r="N9808" s="19"/>
      <c r="P9808" s="19"/>
      <c r="AL9808" s="19"/>
    </row>
    <row r="9809" spans="1:38" s="11" customFormat="1" x14ac:dyDescent="0.25">
      <c r="A9809" s="3"/>
      <c r="F9809" s="19"/>
      <c r="G9809" s="19"/>
      <c r="N9809" s="19"/>
      <c r="P9809" s="19"/>
      <c r="AL9809" s="19"/>
    </row>
    <row r="9810" spans="1:38" s="11" customFormat="1" x14ac:dyDescent="0.25">
      <c r="A9810" s="3"/>
      <c r="F9810" s="19"/>
      <c r="G9810" s="19"/>
      <c r="N9810" s="19"/>
      <c r="P9810" s="19"/>
      <c r="AL9810" s="19"/>
    </row>
    <row r="9811" spans="1:38" s="11" customFormat="1" x14ac:dyDescent="0.25">
      <c r="A9811" s="3"/>
      <c r="F9811" s="19"/>
      <c r="G9811" s="19"/>
      <c r="N9811" s="19"/>
      <c r="P9811" s="19"/>
      <c r="AL9811" s="19"/>
    </row>
    <row r="9812" spans="1:38" s="11" customFormat="1" x14ac:dyDescent="0.25">
      <c r="A9812" s="3"/>
      <c r="F9812" s="19"/>
      <c r="G9812" s="19"/>
      <c r="N9812" s="19"/>
      <c r="P9812" s="19"/>
      <c r="AL9812" s="19"/>
    </row>
    <row r="9813" spans="1:38" s="11" customFormat="1" x14ac:dyDescent="0.25">
      <c r="A9813" s="3"/>
      <c r="F9813" s="19"/>
      <c r="G9813" s="19"/>
      <c r="N9813" s="19"/>
      <c r="P9813" s="19"/>
      <c r="AL9813" s="19"/>
    </row>
    <row r="9814" spans="1:38" s="11" customFormat="1" x14ac:dyDescent="0.25">
      <c r="A9814" s="3"/>
      <c r="F9814" s="19"/>
      <c r="G9814" s="19"/>
      <c r="N9814" s="19"/>
      <c r="P9814" s="19"/>
      <c r="AL9814" s="19"/>
    </row>
    <row r="9815" spans="1:38" s="11" customFormat="1" x14ac:dyDescent="0.25">
      <c r="A9815" s="3"/>
      <c r="F9815" s="19"/>
      <c r="G9815" s="19"/>
      <c r="N9815" s="19"/>
      <c r="P9815" s="19"/>
      <c r="AL9815" s="19"/>
    </row>
    <row r="9816" spans="1:38" s="11" customFormat="1" x14ac:dyDescent="0.25">
      <c r="A9816" s="3"/>
      <c r="F9816" s="19"/>
      <c r="G9816" s="19"/>
      <c r="N9816" s="19"/>
      <c r="P9816" s="19"/>
      <c r="AL9816" s="19"/>
    </row>
    <row r="9817" spans="1:38" s="11" customFormat="1" x14ac:dyDescent="0.25">
      <c r="A9817" s="3"/>
      <c r="F9817" s="19"/>
      <c r="G9817" s="19"/>
      <c r="N9817" s="19"/>
      <c r="P9817" s="19"/>
      <c r="AL9817" s="19"/>
    </row>
    <row r="9818" spans="1:38" s="11" customFormat="1" x14ac:dyDescent="0.25">
      <c r="A9818" s="3"/>
      <c r="F9818" s="19"/>
      <c r="G9818" s="19"/>
      <c r="N9818" s="19"/>
      <c r="P9818" s="19"/>
      <c r="AL9818" s="19"/>
    </row>
    <row r="9819" spans="1:38" s="11" customFormat="1" x14ac:dyDescent="0.25">
      <c r="A9819" s="3"/>
      <c r="F9819" s="19"/>
      <c r="G9819" s="19"/>
      <c r="N9819" s="19"/>
      <c r="P9819" s="19"/>
      <c r="AL9819" s="19"/>
    </row>
    <row r="9820" spans="1:38" s="11" customFormat="1" x14ac:dyDescent="0.25">
      <c r="A9820" s="3"/>
      <c r="F9820" s="19"/>
      <c r="G9820" s="19"/>
      <c r="N9820" s="19"/>
      <c r="P9820" s="19"/>
      <c r="AL9820" s="19"/>
    </row>
    <row r="9821" spans="1:38" s="11" customFormat="1" x14ac:dyDescent="0.25">
      <c r="A9821" s="3"/>
      <c r="F9821" s="19"/>
      <c r="G9821" s="19"/>
      <c r="N9821" s="19"/>
      <c r="P9821" s="19"/>
      <c r="AL9821" s="19"/>
    </row>
    <row r="9822" spans="1:38" s="11" customFormat="1" x14ac:dyDescent="0.25">
      <c r="A9822" s="3"/>
      <c r="F9822" s="19"/>
      <c r="G9822" s="19"/>
      <c r="N9822" s="19"/>
      <c r="P9822" s="19"/>
      <c r="AL9822" s="19"/>
    </row>
    <row r="9823" spans="1:38" s="11" customFormat="1" x14ac:dyDescent="0.25">
      <c r="A9823" s="3"/>
      <c r="F9823" s="19"/>
      <c r="G9823" s="19"/>
      <c r="N9823" s="19"/>
      <c r="P9823" s="19"/>
      <c r="AL9823" s="19"/>
    </row>
    <row r="9824" spans="1:38" s="11" customFormat="1" x14ac:dyDescent="0.25">
      <c r="A9824" s="3"/>
      <c r="F9824" s="19"/>
      <c r="G9824" s="19"/>
      <c r="N9824" s="19"/>
      <c r="P9824" s="19"/>
      <c r="AL9824" s="19"/>
    </row>
    <row r="9825" spans="1:38" s="11" customFormat="1" x14ac:dyDescent="0.25">
      <c r="A9825" s="3"/>
      <c r="F9825" s="19"/>
      <c r="G9825" s="19"/>
      <c r="N9825" s="19"/>
      <c r="P9825" s="19"/>
      <c r="AL9825" s="19"/>
    </row>
    <row r="9826" spans="1:38" s="11" customFormat="1" x14ac:dyDescent="0.25">
      <c r="A9826" s="3"/>
      <c r="F9826" s="19"/>
      <c r="G9826" s="19"/>
      <c r="N9826" s="19"/>
      <c r="P9826" s="19"/>
      <c r="AL9826" s="19"/>
    </row>
    <row r="9827" spans="1:38" s="11" customFormat="1" x14ac:dyDescent="0.25">
      <c r="A9827" s="3"/>
      <c r="F9827" s="19"/>
      <c r="G9827" s="19"/>
      <c r="N9827" s="19"/>
      <c r="P9827" s="19"/>
      <c r="AL9827" s="19"/>
    </row>
    <row r="9828" spans="1:38" s="11" customFormat="1" x14ac:dyDescent="0.25">
      <c r="A9828" s="3"/>
      <c r="F9828" s="19"/>
      <c r="G9828" s="19"/>
      <c r="N9828" s="19"/>
      <c r="P9828" s="19"/>
      <c r="AL9828" s="19"/>
    </row>
    <row r="9829" spans="1:38" s="11" customFormat="1" x14ac:dyDescent="0.25">
      <c r="A9829" s="3"/>
      <c r="F9829" s="19"/>
      <c r="G9829" s="19"/>
      <c r="N9829" s="19"/>
      <c r="P9829" s="19"/>
      <c r="AL9829" s="19"/>
    </row>
    <row r="9830" spans="1:38" s="11" customFormat="1" x14ac:dyDescent="0.25">
      <c r="A9830" s="3"/>
      <c r="F9830" s="19"/>
      <c r="G9830" s="19"/>
      <c r="N9830" s="19"/>
      <c r="P9830" s="19"/>
      <c r="AL9830" s="19"/>
    </row>
    <row r="9831" spans="1:38" s="11" customFormat="1" x14ac:dyDescent="0.25">
      <c r="A9831" s="3"/>
      <c r="F9831" s="19"/>
      <c r="G9831" s="19"/>
      <c r="N9831" s="19"/>
      <c r="P9831" s="19"/>
      <c r="AL9831" s="19"/>
    </row>
    <row r="9832" spans="1:38" s="11" customFormat="1" x14ac:dyDescent="0.25">
      <c r="A9832" s="3"/>
      <c r="F9832" s="19"/>
      <c r="G9832" s="19"/>
      <c r="N9832" s="19"/>
      <c r="P9832" s="19"/>
      <c r="AL9832" s="19"/>
    </row>
    <row r="9833" spans="1:38" s="11" customFormat="1" x14ac:dyDescent="0.25">
      <c r="A9833" s="3"/>
      <c r="F9833" s="19"/>
      <c r="G9833" s="19"/>
      <c r="N9833" s="19"/>
      <c r="P9833" s="19"/>
      <c r="AL9833" s="19"/>
    </row>
    <row r="9834" spans="1:38" s="11" customFormat="1" x14ac:dyDescent="0.25">
      <c r="A9834" s="3"/>
      <c r="F9834" s="19"/>
      <c r="G9834" s="19"/>
      <c r="N9834" s="19"/>
      <c r="P9834" s="19"/>
      <c r="AL9834" s="19"/>
    </row>
    <row r="9835" spans="1:38" s="11" customFormat="1" x14ac:dyDescent="0.25">
      <c r="A9835" s="3"/>
      <c r="F9835" s="19"/>
      <c r="G9835" s="19"/>
      <c r="N9835" s="19"/>
      <c r="P9835" s="19"/>
      <c r="AL9835" s="19"/>
    </row>
    <row r="9836" spans="1:38" s="11" customFormat="1" x14ac:dyDescent="0.25">
      <c r="A9836" s="3"/>
      <c r="F9836" s="19"/>
      <c r="G9836" s="19"/>
      <c r="N9836" s="19"/>
      <c r="P9836" s="19"/>
      <c r="AL9836" s="19"/>
    </row>
    <row r="9837" spans="1:38" s="11" customFormat="1" x14ac:dyDescent="0.25">
      <c r="A9837" s="3"/>
      <c r="F9837" s="19"/>
      <c r="G9837" s="19"/>
      <c r="N9837" s="19"/>
      <c r="P9837" s="19"/>
      <c r="AL9837" s="19"/>
    </row>
    <row r="9838" spans="1:38" s="11" customFormat="1" x14ac:dyDescent="0.25">
      <c r="A9838" s="3"/>
      <c r="F9838" s="19"/>
      <c r="G9838" s="19"/>
      <c r="N9838" s="19"/>
      <c r="P9838" s="19"/>
      <c r="AL9838" s="19"/>
    </row>
    <row r="9839" spans="1:38" s="11" customFormat="1" x14ac:dyDescent="0.25">
      <c r="A9839" s="3"/>
      <c r="F9839" s="19"/>
      <c r="G9839" s="19"/>
      <c r="N9839" s="19"/>
      <c r="P9839" s="19"/>
      <c r="AL9839" s="19"/>
    </row>
    <row r="9840" spans="1:38" s="11" customFormat="1" x14ac:dyDescent="0.25">
      <c r="A9840" s="3"/>
      <c r="F9840" s="19"/>
      <c r="G9840" s="19"/>
      <c r="N9840" s="19"/>
      <c r="P9840" s="19"/>
      <c r="AL9840" s="19"/>
    </row>
    <row r="9841" spans="1:38" s="11" customFormat="1" x14ac:dyDescent="0.25">
      <c r="A9841" s="3"/>
      <c r="F9841" s="19"/>
      <c r="G9841" s="19"/>
      <c r="N9841" s="19"/>
      <c r="P9841" s="19"/>
      <c r="AL9841" s="19"/>
    </row>
    <row r="9842" spans="1:38" s="11" customFormat="1" x14ac:dyDescent="0.25">
      <c r="A9842" s="3"/>
      <c r="F9842" s="19"/>
      <c r="G9842" s="19"/>
      <c r="N9842" s="19"/>
      <c r="P9842" s="19"/>
      <c r="AL9842" s="19"/>
    </row>
    <row r="9843" spans="1:38" s="11" customFormat="1" x14ac:dyDescent="0.25">
      <c r="A9843" s="3"/>
      <c r="F9843" s="19"/>
      <c r="G9843" s="19"/>
      <c r="N9843" s="19"/>
      <c r="P9843" s="19"/>
      <c r="AL9843" s="19"/>
    </row>
    <row r="9844" spans="1:38" s="11" customFormat="1" x14ac:dyDescent="0.25">
      <c r="A9844" s="3"/>
      <c r="F9844" s="19"/>
      <c r="G9844" s="19"/>
      <c r="N9844" s="19"/>
      <c r="P9844" s="19"/>
      <c r="AL9844" s="19"/>
    </row>
    <row r="9845" spans="1:38" s="11" customFormat="1" x14ac:dyDescent="0.25">
      <c r="A9845" s="3"/>
      <c r="F9845" s="19"/>
      <c r="G9845" s="19"/>
      <c r="N9845" s="19"/>
      <c r="P9845" s="19"/>
      <c r="AL9845" s="19"/>
    </row>
    <row r="9846" spans="1:38" s="11" customFormat="1" x14ac:dyDescent="0.25">
      <c r="A9846" s="3"/>
      <c r="F9846" s="19"/>
      <c r="G9846" s="19"/>
      <c r="N9846" s="19"/>
      <c r="P9846" s="19"/>
      <c r="AL9846" s="19"/>
    </row>
    <row r="9847" spans="1:38" s="11" customFormat="1" x14ac:dyDescent="0.25">
      <c r="A9847" s="3"/>
      <c r="F9847" s="19"/>
      <c r="G9847" s="19"/>
      <c r="N9847" s="19"/>
      <c r="P9847" s="19"/>
      <c r="AL9847" s="19"/>
    </row>
    <row r="9848" spans="1:38" s="11" customFormat="1" x14ac:dyDescent="0.25">
      <c r="A9848" s="3"/>
      <c r="F9848" s="19"/>
      <c r="G9848" s="19"/>
      <c r="N9848" s="19"/>
      <c r="P9848" s="19"/>
      <c r="AL9848" s="19"/>
    </row>
    <row r="9849" spans="1:38" s="11" customFormat="1" x14ac:dyDescent="0.25">
      <c r="A9849" s="3"/>
      <c r="F9849" s="19"/>
      <c r="G9849" s="19"/>
      <c r="N9849" s="19"/>
      <c r="P9849" s="19"/>
      <c r="AL9849" s="19"/>
    </row>
    <row r="9850" spans="1:38" s="11" customFormat="1" x14ac:dyDescent="0.25">
      <c r="A9850" s="3"/>
      <c r="F9850" s="19"/>
      <c r="G9850" s="19"/>
      <c r="N9850" s="19"/>
      <c r="P9850" s="19"/>
      <c r="AL9850" s="19"/>
    </row>
    <row r="9851" spans="1:38" s="11" customFormat="1" x14ac:dyDescent="0.25">
      <c r="A9851" s="3"/>
      <c r="F9851" s="19"/>
      <c r="G9851" s="19"/>
      <c r="N9851" s="19"/>
      <c r="P9851" s="19"/>
      <c r="AL9851" s="19"/>
    </row>
    <row r="9852" spans="1:38" s="11" customFormat="1" x14ac:dyDescent="0.25">
      <c r="A9852" s="3"/>
      <c r="F9852" s="19"/>
      <c r="G9852" s="19"/>
      <c r="N9852" s="19"/>
      <c r="P9852" s="19"/>
      <c r="AL9852" s="19"/>
    </row>
    <row r="9853" spans="1:38" s="11" customFormat="1" x14ac:dyDescent="0.25">
      <c r="A9853" s="3"/>
      <c r="F9853" s="19"/>
      <c r="G9853" s="19"/>
      <c r="N9853" s="19"/>
      <c r="P9853" s="19"/>
      <c r="AL9853" s="19"/>
    </row>
    <row r="9854" spans="1:38" s="11" customFormat="1" x14ac:dyDescent="0.25">
      <c r="A9854" s="3"/>
      <c r="F9854" s="19"/>
      <c r="G9854" s="19"/>
      <c r="N9854" s="19"/>
      <c r="P9854" s="19"/>
      <c r="AL9854" s="19"/>
    </row>
    <row r="9855" spans="1:38" s="11" customFormat="1" x14ac:dyDescent="0.25">
      <c r="A9855" s="3"/>
      <c r="F9855" s="19"/>
      <c r="G9855" s="19"/>
      <c r="N9855" s="19"/>
      <c r="P9855" s="19"/>
      <c r="AL9855" s="19"/>
    </row>
    <row r="9856" spans="1:38" s="11" customFormat="1" x14ac:dyDescent="0.25">
      <c r="A9856" s="3"/>
      <c r="F9856" s="19"/>
      <c r="G9856" s="19"/>
      <c r="N9856" s="19"/>
      <c r="P9856" s="19"/>
      <c r="AL9856" s="19"/>
    </row>
    <row r="9857" spans="1:38" s="11" customFormat="1" x14ac:dyDescent="0.25">
      <c r="A9857" s="3"/>
      <c r="F9857" s="19"/>
      <c r="G9857" s="19"/>
      <c r="N9857" s="19"/>
      <c r="P9857" s="19"/>
      <c r="AL9857" s="19"/>
    </row>
    <row r="9858" spans="1:38" s="11" customFormat="1" x14ac:dyDescent="0.25">
      <c r="A9858" s="3"/>
      <c r="F9858" s="19"/>
      <c r="G9858" s="19"/>
      <c r="N9858" s="19"/>
      <c r="P9858" s="19"/>
      <c r="AL9858" s="19"/>
    </row>
    <row r="9859" spans="1:38" s="11" customFormat="1" x14ac:dyDescent="0.25">
      <c r="A9859" s="3"/>
      <c r="F9859" s="19"/>
      <c r="G9859" s="19"/>
      <c r="N9859" s="19"/>
      <c r="P9859" s="19"/>
      <c r="AL9859" s="19"/>
    </row>
    <row r="9860" spans="1:38" s="11" customFormat="1" x14ac:dyDescent="0.25">
      <c r="A9860" s="3"/>
      <c r="F9860" s="19"/>
      <c r="G9860" s="19"/>
      <c r="N9860" s="19"/>
      <c r="P9860" s="19"/>
      <c r="AL9860" s="19"/>
    </row>
    <row r="9861" spans="1:38" s="11" customFormat="1" x14ac:dyDescent="0.25">
      <c r="A9861" s="3"/>
      <c r="F9861" s="19"/>
      <c r="G9861" s="19"/>
      <c r="N9861" s="19"/>
      <c r="P9861" s="19"/>
      <c r="AL9861" s="19"/>
    </row>
    <row r="9862" spans="1:38" s="11" customFormat="1" x14ac:dyDescent="0.25">
      <c r="A9862" s="3"/>
      <c r="F9862" s="19"/>
      <c r="G9862" s="19"/>
      <c r="N9862" s="19"/>
      <c r="P9862" s="19"/>
      <c r="AL9862" s="19"/>
    </row>
    <row r="9863" spans="1:38" s="11" customFormat="1" x14ac:dyDescent="0.25">
      <c r="A9863" s="3"/>
      <c r="F9863" s="19"/>
      <c r="G9863" s="19"/>
      <c r="N9863" s="19"/>
      <c r="P9863" s="19"/>
      <c r="AL9863" s="19"/>
    </row>
    <row r="9864" spans="1:38" s="11" customFormat="1" x14ac:dyDescent="0.25">
      <c r="A9864" s="3"/>
      <c r="F9864" s="19"/>
      <c r="G9864" s="19"/>
      <c r="N9864" s="19"/>
      <c r="P9864" s="19"/>
      <c r="AL9864" s="19"/>
    </row>
    <row r="9865" spans="1:38" s="11" customFormat="1" x14ac:dyDescent="0.25">
      <c r="A9865" s="3"/>
      <c r="F9865" s="19"/>
      <c r="G9865" s="19"/>
      <c r="N9865" s="19"/>
      <c r="P9865" s="19"/>
      <c r="AL9865" s="19"/>
    </row>
    <row r="9866" spans="1:38" s="11" customFormat="1" x14ac:dyDescent="0.25">
      <c r="A9866" s="3"/>
      <c r="F9866" s="19"/>
      <c r="G9866" s="19"/>
      <c r="N9866" s="19"/>
      <c r="P9866" s="19"/>
      <c r="AL9866" s="19"/>
    </row>
    <row r="9867" spans="1:38" s="11" customFormat="1" x14ac:dyDescent="0.25">
      <c r="A9867" s="3"/>
      <c r="F9867" s="19"/>
      <c r="G9867" s="19"/>
      <c r="N9867" s="19"/>
      <c r="P9867" s="19"/>
      <c r="AL9867" s="19"/>
    </row>
    <row r="9868" spans="1:38" s="11" customFormat="1" x14ac:dyDescent="0.25">
      <c r="A9868" s="3"/>
      <c r="F9868" s="19"/>
      <c r="G9868" s="19"/>
      <c r="N9868" s="19"/>
      <c r="P9868" s="19"/>
      <c r="AL9868" s="19"/>
    </row>
    <row r="9869" spans="1:38" s="11" customFormat="1" x14ac:dyDescent="0.25">
      <c r="A9869" s="3"/>
      <c r="F9869" s="19"/>
      <c r="G9869" s="19"/>
      <c r="N9869" s="19"/>
      <c r="P9869" s="19"/>
      <c r="AL9869" s="19"/>
    </row>
    <row r="9870" spans="1:38" s="11" customFormat="1" x14ac:dyDescent="0.25">
      <c r="A9870" s="3"/>
      <c r="F9870" s="19"/>
      <c r="G9870" s="19"/>
      <c r="N9870" s="19"/>
      <c r="P9870" s="19"/>
      <c r="AL9870" s="19"/>
    </row>
    <row r="9871" spans="1:38" s="11" customFormat="1" x14ac:dyDescent="0.25">
      <c r="A9871" s="3"/>
      <c r="F9871" s="19"/>
      <c r="G9871" s="19"/>
      <c r="N9871" s="19"/>
      <c r="P9871" s="19"/>
      <c r="AL9871" s="19"/>
    </row>
    <row r="9872" spans="1:38" s="11" customFormat="1" x14ac:dyDescent="0.25">
      <c r="A9872" s="3"/>
      <c r="F9872" s="19"/>
      <c r="G9872" s="19"/>
      <c r="N9872" s="19"/>
      <c r="P9872" s="19"/>
      <c r="AL9872" s="19"/>
    </row>
    <row r="9873" spans="1:38" s="11" customFormat="1" x14ac:dyDescent="0.25">
      <c r="A9873" s="3"/>
      <c r="F9873" s="19"/>
      <c r="G9873" s="19"/>
      <c r="N9873" s="19"/>
      <c r="P9873" s="19"/>
      <c r="AL9873" s="19"/>
    </row>
    <row r="9874" spans="1:38" s="11" customFormat="1" x14ac:dyDescent="0.25">
      <c r="A9874" s="3"/>
      <c r="F9874" s="19"/>
      <c r="G9874" s="19"/>
      <c r="N9874" s="19"/>
      <c r="P9874" s="19"/>
      <c r="AL9874" s="19"/>
    </row>
    <row r="9875" spans="1:38" s="11" customFormat="1" x14ac:dyDescent="0.25">
      <c r="A9875" s="3"/>
      <c r="F9875" s="19"/>
      <c r="G9875" s="19"/>
      <c r="N9875" s="19"/>
      <c r="P9875" s="19"/>
      <c r="AL9875" s="19"/>
    </row>
    <row r="9876" spans="1:38" s="11" customFormat="1" x14ac:dyDescent="0.25">
      <c r="A9876" s="3"/>
      <c r="F9876" s="19"/>
      <c r="G9876" s="19"/>
      <c r="N9876" s="19"/>
      <c r="P9876" s="19"/>
      <c r="AL9876" s="19"/>
    </row>
    <row r="9877" spans="1:38" s="11" customFormat="1" x14ac:dyDescent="0.25">
      <c r="A9877" s="3"/>
      <c r="F9877" s="19"/>
      <c r="G9877" s="19"/>
      <c r="N9877" s="19"/>
      <c r="P9877" s="19"/>
      <c r="AL9877" s="19"/>
    </row>
    <row r="9878" spans="1:38" s="11" customFormat="1" x14ac:dyDescent="0.25">
      <c r="A9878" s="3"/>
      <c r="F9878" s="19"/>
      <c r="G9878" s="19"/>
      <c r="N9878" s="19"/>
      <c r="P9878" s="19"/>
      <c r="AL9878" s="19"/>
    </row>
    <row r="9879" spans="1:38" s="11" customFormat="1" x14ac:dyDescent="0.25">
      <c r="A9879" s="3"/>
      <c r="F9879" s="19"/>
      <c r="G9879" s="19"/>
      <c r="N9879" s="19"/>
      <c r="P9879" s="19"/>
      <c r="AL9879" s="19"/>
    </row>
    <row r="9880" spans="1:38" s="11" customFormat="1" x14ac:dyDescent="0.25">
      <c r="A9880" s="3"/>
      <c r="F9880" s="19"/>
      <c r="G9880" s="19"/>
      <c r="N9880" s="19"/>
      <c r="P9880" s="19"/>
      <c r="AL9880" s="19"/>
    </row>
    <row r="9881" spans="1:38" s="11" customFormat="1" x14ac:dyDescent="0.25">
      <c r="A9881" s="3"/>
      <c r="F9881" s="19"/>
      <c r="G9881" s="19"/>
      <c r="N9881" s="19"/>
      <c r="P9881" s="19"/>
      <c r="AL9881" s="19"/>
    </row>
    <row r="9882" spans="1:38" s="11" customFormat="1" x14ac:dyDescent="0.25">
      <c r="A9882" s="3"/>
      <c r="F9882" s="19"/>
      <c r="G9882" s="19"/>
      <c r="N9882" s="19"/>
      <c r="P9882" s="19"/>
      <c r="AL9882" s="19"/>
    </row>
    <row r="9883" spans="1:38" s="11" customFormat="1" x14ac:dyDescent="0.25">
      <c r="A9883" s="3"/>
      <c r="F9883" s="19"/>
      <c r="G9883" s="19"/>
      <c r="N9883" s="19"/>
      <c r="P9883" s="19"/>
      <c r="AL9883" s="19"/>
    </row>
    <row r="9884" spans="1:38" s="11" customFormat="1" x14ac:dyDescent="0.25">
      <c r="A9884" s="3"/>
      <c r="F9884" s="19"/>
      <c r="G9884" s="19"/>
      <c r="N9884" s="19"/>
      <c r="P9884" s="19"/>
      <c r="AL9884" s="19"/>
    </row>
    <row r="9885" spans="1:38" s="11" customFormat="1" x14ac:dyDescent="0.25">
      <c r="A9885" s="3"/>
      <c r="F9885" s="19"/>
      <c r="G9885" s="19"/>
      <c r="N9885" s="19"/>
      <c r="P9885" s="19"/>
      <c r="AL9885" s="19"/>
    </row>
    <row r="9886" spans="1:38" s="11" customFormat="1" x14ac:dyDescent="0.25">
      <c r="A9886" s="3"/>
      <c r="F9886" s="19"/>
      <c r="G9886" s="19"/>
      <c r="N9886" s="19"/>
      <c r="P9886" s="19"/>
      <c r="AL9886" s="19"/>
    </row>
    <row r="9887" spans="1:38" s="11" customFormat="1" x14ac:dyDescent="0.25">
      <c r="A9887" s="3"/>
      <c r="F9887" s="19"/>
      <c r="G9887" s="19"/>
      <c r="N9887" s="19"/>
      <c r="P9887" s="19"/>
      <c r="AL9887" s="19"/>
    </row>
    <row r="9888" spans="1:38" s="11" customFormat="1" x14ac:dyDescent="0.25">
      <c r="A9888" s="3"/>
      <c r="F9888" s="19"/>
      <c r="G9888" s="19"/>
      <c r="N9888" s="19"/>
      <c r="P9888" s="19"/>
      <c r="AL9888" s="19"/>
    </row>
    <row r="9889" spans="1:38" s="11" customFormat="1" x14ac:dyDescent="0.25">
      <c r="A9889" s="3"/>
      <c r="F9889" s="19"/>
      <c r="G9889" s="19"/>
      <c r="N9889" s="19"/>
      <c r="P9889" s="19"/>
      <c r="AL9889" s="19"/>
    </row>
    <row r="9890" spans="1:38" s="11" customFormat="1" x14ac:dyDescent="0.25">
      <c r="A9890" s="3"/>
      <c r="F9890" s="19"/>
      <c r="G9890" s="19"/>
      <c r="N9890" s="19"/>
      <c r="P9890" s="19"/>
      <c r="AL9890" s="19"/>
    </row>
    <row r="9891" spans="1:38" s="11" customFormat="1" x14ac:dyDescent="0.25">
      <c r="A9891" s="3"/>
      <c r="F9891" s="19"/>
      <c r="G9891" s="19"/>
      <c r="N9891" s="19"/>
      <c r="P9891" s="19"/>
      <c r="AL9891" s="19"/>
    </row>
    <row r="9892" spans="1:38" s="11" customFormat="1" x14ac:dyDescent="0.25">
      <c r="A9892" s="3"/>
      <c r="F9892" s="19"/>
      <c r="G9892" s="19"/>
      <c r="N9892" s="19"/>
      <c r="P9892" s="19"/>
      <c r="AL9892" s="19"/>
    </row>
    <row r="9893" spans="1:38" s="11" customFormat="1" x14ac:dyDescent="0.25">
      <c r="A9893" s="3"/>
      <c r="F9893" s="19"/>
      <c r="G9893" s="19"/>
      <c r="N9893" s="19"/>
      <c r="P9893" s="19"/>
      <c r="AL9893" s="19"/>
    </row>
    <row r="9894" spans="1:38" s="11" customFormat="1" x14ac:dyDescent="0.25">
      <c r="A9894" s="3"/>
      <c r="F9894" s="19"/>
      <c r="G9894" s="19"/>
      <c r="N9894" s="19"/>
      <c r="P9894" s="19"/>
      <c r="AL9894" s="19"/>
    </row>
    <row r="9895" spans="1:38" s="11" customFormat="1" x14ac:dyDescent="0.25">
      <c r="A9895" s="3"/>
      <c r="F9895" s="19"/>
      <c r="G9895" s="19"/>
      <c r="N9895" s="19"/>
      <c r="P9895" s="19"/>
      <c r="AL9895" s="19"/>
    </row>
    <row r="9896" spans="1:38" s="11" customFormat="1" x14ac:dyDescent="0.25">
      <c r="A9896" s="3"/>
      <c r="F9896" s="19"/>
      <c r="G9896" s="19"/>
      <c r="N9896" s="19"/>
      <c r="P9896" s="19"/>
      <c r="AL9896" s="19"/>
    </row>
    <row r="9897" spans="1:38" s="11" customFormat="1" x14ac:dyDescent="0.25">
      <c r="A9897" s="3"/>
      <c r="F9897" s="19"/>
      <c r="G9897" s="19"/>
      <c r="N9897" s="19"/>
      <c r="P9897" s="19"/>
      <c r="AL9897" s="19"/>
    </row>
    <row r="9898" spans="1:38" s="11" customFormat="1" x14ac:dyDescent="0.25">
      <c r="A9898" s="3"/>
      <c r="F9898" s="19"/>
      <c r="G9898" s="19"/>
      <c r="N9898" s="19"/>
      <c r="P9898" s="19"/>
      <c r="AL9898" s="19"/>
    </row>
    <row r="9899" spans="1:38" s="11" customFormat="1" x14ac:dyDescent="0.25">
      <c r="A9899" s="3"/>
      <c r="F9899" s="19"/>
      <c r="G9899" s="19"/>
      <c r="N9899" s="19"/>
      <c r="P9899" s="19"/>
      <c r="AL9899" s="19"/>
    </row>
    <row r="9900" spans="1:38" s="11" customFormat="1" x14ac:dyDescent="0.25">
      <c r="A9900" s="3"/>
      <c r="F9900" s="19"/>
      <c r="G9900" s="19"/>
      <c r="N9900" s="19"/>
      <c r="P9900" s="19"/>
      <c r="AL9900" s="19"/>
    </row>
    <row r="9901" spans="1:38" s="11" customFormat="1" x14ac:dyDescent="0.25">
      <c r="A9901" s="3"/>
      <c r="F9901" s="19"/>
      <c r="G9901" s="19"/>
      <c r="N9901" s="19"/>
      <c r="P9901" s="19"/>
      <c r="AL9901" s="19"/>
    </row>
    <row r="9902" spans="1:38" s="11" customFormat="1" x14ac:dyDescent="0.25">
      <c r="A9902" s="3"/>
      <c r="F9902" s="19"/>
      <c r="G9902" s="19"/>
      <c r="N9902" s="19"/>
      <c r="P9902" s="19"/>
      <c r="AL9902" s="19"/>
    </row>
    <row r="9903" spans="1:38" s="11" customFormat="1" x14ac:dyDescent="0.25">
      <c r="A9903" s="3"/>
      <c r="F9903" s="19"/>
      <c r="G9903" s="19"/>
      <c r="N9903" s="19"/>
      <c r="P9903" s="19"/>
      <c r="AL9903" s="19"/>
    </row>
    <row r="9904" spans="1:38" s="11" customFormat="1" x14ac:dyDescent="0.25">
      <c r="A9904" s="3"/>
      <c r="F9904" s="19"/>
      <c r="G9904" s="19"/>
      <c r="N9904" s="19"/>
      <c r="P9904" s="19"/>
      <c r="AL9904" s="19"/>
    </row>
    <row r="9905" spans="1:38" s="11" customFormat="1" x14ac:dyDescent="0.25">
      <c r="A9905" s="3"/>
      <c r="F9905" s="19"/>
      <c r="G9905" s="19"/>
      <c r="N9905" s="19"/>
      <c r="P9905" s="19"/>
      <c r="AL9905" s="19"/>
    </row>
    <row r="9906" spans="1:38" s="11" customFormat="1" x14ac:dyDescent="0.25">
      <c r="A9906" s="3"/>
      <c r="F9906" s="19"/>
      <c r="G9906" s="19"/>
      <c r="N9906" s="19"/>
      <c r="P9906" s="19"/>
      <c r="AL9906" s="19"/>
    </row>
    <row r="9907" spans="1:38" s="11" customFormat="1" x14ac:dyDescent="0.25">
      <c r="A9907" s="3"/>
      <c r="F9907" s="19"/>
      <c r="G9907" s="19"/>
      <c r="N9907" s="19"/>
      <c r="P9907" s="19"/>
      <c r="AL9907" s="19"/>
    </row>
    <row r="9908" spans="1:38" s="11" customFormat="1" x14ac:dyDescent="0.25">
      <c r="A9908" s="3"/>
      <c r="F9908" s="19"/>
      <c r="G9908" s="19"/>
      <c r="N9908" s="19"/>
      <c r="P9908" s="19"/>
      <c r="AL9908" s="19"/>
    </row>
    <row r="9909" spans="1:38" s="11" customFormat="1" x14ac:dyDescent="0.25">
      <c r="A9909" s="3"/>
      <c r="F9909" s="19"/>
      <c r="G9909" s="19"/>
      <c r="N9909" s="19"/>
      <c r="P9909" s="19"/>
      <c r="AL9909" s="19"/>
    </row>
    <row r="9910" spans="1:38" s="11" customFormat="1" x14ac:dyDescent="0.25">
      <c r="A9910" s="3"/>
      <c r="F9910" s="19"/>
      <c r="G9910" s="19"/>
      <c r="N9910" s="19"/>
      <c r="P9910" s="19"/>
      <c r="AL9910" s="19"/>
    </row>
    <row r="9911" spans="1:38" s="11" customFormat="1" x14ac:dyDescent="0.25">
      <c r="A9911" s="3"/>
      <c r="F9911" s="19"/>
      <c r="G9911" s="19"/>
      <c r="N9911" s="19"/>
      <c r="P9911" s="19"/>
      <c r="AL9911" s="19"/>
    </row>
    <row r="9912" spans="1:38" s="11" customFormat="1" x14ac:dyDescent="0.25">
      <c r="A9912" s="3"/>
      <c r="F9912" s="19"/>
      <c r="G9912" s="19"/>
      <c r="N9912" s="19"/>
      <c r="P9912" s="19"/>
      <c r="AL9912" s="19"/>
    </row>
    <row r="9913" spans="1:38" s="11" customFormat="1" x14ac:dyDescent="0.25">
      <c r="A9913" s="3"/>
      <c r="F9913" s="19"/>
      <c r="G9913" s="19"/>
      <c r="N9913" s="19"/>
      <c r="P9913" s="19"/>
      <c r="AL9913" s="19"/>
    </row>
    <row r="9914" spans="1:38" s="11" customFormat="1" x14ac:dyDescent="0.25">
      <c r="A9914" s="3"/>
      <c r="F9914" s="19"/>
      <c r="G9914" s="19"/>
      <c r="N9914" s="19"/>
      <c r="P9914" s="19"/>
      <c r="AL9914" s="19"/>
    </row>
    <row r="9915" spans="1:38" s="11" customFormat="1" x14ac:dyDescent="0.25">
      <c r="A9915" s="3"/>
      <c r="F9915" s="19"/>
      <c r="G9915" s="19"/>
      <c r="N9915" s="19"/>
      <c r="P9915" s="19"/>
      <c r="AL9915" s="19"/>
    </row>
    <row r="9916" spans="1:38" s="11" customFormat="1" x14ac:dyDescent="0.25">
      <c r="A9916" s="3"/>
      <c r="F9916" s="19"/>
      <c r="G9916" s="19"/>
      <c r="N9916" s="19"/>
      <c r="P9916" s="19"/>
      <c r="AL9916" s="19"/>
    </row>
    <row r="9917" spans="1:38" s="11" customFormat="1" x14ac:dyDescent="0.25">
      <c r="A9917" s="3"/>
      <c r="F9917" s="19"/>
      <c r="G9917" s="19"/>
      <c r="N9917" s="19"/>
      <c r="P9917" s="19"/>
      <c r="AL9917" s="19"/>
    </row>
    <row r="9918" spans="1:38" s="11" customFormat="1" x14ac:dyDescent="0.25">
      <c r="A9918" s="3"/>
      <c r="F9918" s="19"/>
      <c r="G9918" s="19"/>
      <c r="N9918" s="19"/>
      <c r="P9918" s="19"/>
      <c r="AL9918" s="19"/>
    </row>
    <row r="9919" spans="1:38" s="11" customFormat="1" x14ac:dyDescent="0.25">
      <c r="A9919" s="3"/>
      <c r="F9919" s="19"/>
      <c r="G9919" s="19"/>
      <c r="N9919" s="19"/>
      <c r="P9919" s="19"/>
      <c r="AL9919" s="19"/>
    </row>
    <row r="9920" spans="1:38" s="11" customFormat="1" x14ac:dyDescent="0.25">
      <c r="A9920" s="3"/>
      <c r="F9920" s="19"/>
      <c r="G9920" s="19"/>
      <c r="N9920" s="19"/>
      <c r="P9920" s="19"/>
      <c r="AL9920" s="19"/>
    </row>
    <row r="9921" spans="1:38" s="11" customFormat="1" x14ac:dyDescent="0.25">
      <c r="A9921" s="3"/>
      <c r="F9921" s="19"/>
      <c r="G9921" s="19"/>
      <c r="N9921" s="19"/>
      <c r="P9921" s="19"/>
      <c r="AL9921" s="19"/>
    </row>
    <row r="9922" spans="1:38" s="11" customFormat="1" x14ac:dyDescent="0.25">
      <c r="A9922" s="3"/>
      <c r="F9922" s="19"/>
      <c r="G9922" s="19"/>
      <c r="N9922" s="19"/>
      <c r="P9922" s="19"/>
      <c r="AL9922" s="19"/>
    </row>
    <row r="9923" spans="1:38" s="11" customFormat="1" x14ac:dyDescent="0.25">
      <c r="A9923" s="3"/>
      <c r="F9923" s="19"/>
      <c r="G9923" s="19"/>
      <c r="N9923" s="19"/>
      <c r="P9923" s="19"/>
      <c r="AL9923" s="19"/>
    </row>
    <row r="9924" spans="1:38" s="11" customFormat="1" x14ac:dyDescent="0.25">
      <c r="A9924" s="3"/>
      <c r="F9924" s="19"/>
      <c r="G9924" s="19"/>
      <c r="N9924" s="19"/>
      <c r="P9924" s="19"/>
      <c r="AL9924" s="19"/>
    </row>
    <row r="9925" spans="1:38" s="11" customFormat="1" x14ac:dyDescent="0.25">
      <c r="A9925" s="3"/>
      <c r="F9925" s="19"/>
      <c r="G9925" s="19"/>
      <c r="N9925" s="19"/>
      <c r="P9925" s="19"/>
      <c r="AL9925" s="19"/>
    </row>
    <row r="9926" spans="1:38" s="11" customFormat="1" x14ac:dyDescent="0.25">
      <c r="A9926" s="3"/>
      <c r="F9926" s="19"/>
      <c r="G9926" s="19"/>
      <c r="N9926" s="19"/>
      <c r="P9926" s="19"/>
      <c r="AL9926" s="19"/>
    </row>
    <row r="9927" spans="1:38" s="11" customFormat="1" x14ac:dyDescent="0.25">
      <c r="A9927" s="3"/>
      <c r="F9927" s="19"/>
      <c r="G9927" s="19"/>
      <c r="N9927" s="19"/>
      <c r="P9927" s="19"/>
      <c r="AL9927" s="19"/>
    </row>
    <row r="9928" spans="1:38" s="11" customFormat="1" x14ac:dyDescent="0.25">
      <c r="A9928" s="3"/>
      <c r="F9928" s="19"/>
      <c r="G9928" s="19"/>
      <c r="N9928" s="19"/>
      <c r="P9928" s="19"/>
      <c r="AL9928" s="19"/>
    </row>
    <row r="9929" spans="1:38" s="11" customFormat="1" x14ac:dyDescent="0.25">
      <c r="A9929" s="3"/>
      <c r="F9929" s="19"/>
      <c r="G9929" s="19"/>
      <c r="N9929" s="19"/>
      <c r="P9929" s="19"/>
      <c r="AL9929" s="19"/>
    </row>
    <row r="9930" spans="1:38" s="11" customFormat="1" x14ac:dyDescent="0.25">
      <c r="A9930" s="3"/>
      <c r="F9930" s="19"/>
      <c r="G9930" s="19"/>
      <c r="N9930" s="19"/>
      <c r="P9930" s="19"/>
      <c r="AL9930" s="19"/>
    </row>
    <row r="9931" spans="1:38" s="11" customFormat="1" x14ac:dyDescent="0.25">
      <c r="A9931" s="3"/>
      <c r="F9931" s="19"/>
      <c r="G9931" s="19"/>
      <c r="N9931" s="19"/>
      <c r="P9931" s="19"/>
      <c r="AL9931" s="19"/>
    </row>
    <row r="9932" spans="1:38" s="11" customFormat="1" x14ac:dyDescent="0.25">
      <c r="A9932" s="3"/>
      <c r="F9932" s="19"/>
      <c r="G9932" s="19"/>
      <c r="N9932" s="19"/>
      <c r="P9932" s="19"/>
      <c r="AL9932" s="19"/>
    </row>
    <row r="9933" spans="1:38" s="11" customFormat="1" x14ac:dyDescent="0.25">
      <c r="A9933" s="3"/>
      <c r="F9933" s="19"/>
      <c r="G9933" s="19"/>
      <c r="N9933" s="19"/>
      <c r="P9933" s="19"/>
      <c r="AL9933" s="19"/>
    </row>
    <row r="9934" spans="1:38" s="11" customFormat="1" x14ac:dyDescent="0.25">
      <c r="A9934" s="3"/>
      <c r="F9934" s="19"/>
      <c r="G9934" s="19"/>
      <c r="N9934" s="19"/>
      <c r="P9934" s="19"/>
      <c r="AL9934" s="19"/>
    </row>
    <row r="9935" spans="1:38" s="11" customFormat="1" x14ac:dyDescent="0.25">
      <c r="A9935" s="3"/>
      <c r="F9935" s="19"/>
      <c r="G9935" s="19"/>
      <c r="N9935" s="19"/>
      <c r="P9935" s="19"/>
      <c r="AL9935" s="19"/>
    </row>
    <row r="9936" spans="1:38" s="11" customFormat="1" x14ac:dyDescent="0.25">
      <c r="A9936" s="3"/>
      <c r="F9936" s="19"/>
      <c r="G9936" s="19"/>
      <c r="N9936" s="19"/>
      <c r="P9936" s="19"/>
      <c r="AL9936" s="19"/>
    </row>
    <row r="9937" spans="1:38" s="11" customFormat="1" x14ac:dyDescent="0.25">
      <c r="A9937" s="3"/>
      <c r="F9937" s="19"/>
      <c r="G9937" s="19"/>
      <c r="N9937" s="19"/>
      <c r="P9937" s="19"/>
      <c r="AL9937" s="19"/>
    </row>
    <row r="9938" spans="1:38" s="11" customFormat="1" x14ac:dyDescent="0.25">
      <c r="A9938" s="3"/>
      <c r="F9938" s="19"/>
      <c r="G9938" s="19"/>
      <c r="N9938" s="19"/>
      <c r="P9938" s="19"/>
      <c r="AL9938" s="19"/>
    </row>
    <row r="9939" spans="1:38" s="11" customFormat="1" x14ac:dyDescent="0.25">
      <c r="A9939" s="3"/>
      <c r="F9939" s="19"/>
      <c r="G9939" s="19"/>
      <c r="N9939" s="19"/>
      <c r="P9939" s="19"/>
      <c r="AL9939" s="19"/>
    </row>
    <row r="9940" spans="1:38" s="11" customFormat="1" x14ac:dyDescent="0.25">
      <c r="A9940" s="3"/>
      <c r="F9940" s="19"/>
      <c r="G9940" s="19"/>
      <c r="N9940" s="19"/>
      <c r="P9940" s="19"/>
      <c r="AL9940" s="19"/>
    </row>
    <row r="9941" spans="1:38" s="11" customFormat="1" x14ac:dyDescent="0.25">
      <c r="A9941" s="3"/>
      <c r="F9941" s="19"/>
      <c r="G9941" s="19"/>
      <c r="N9941" s="19"/>
      <c r="P9941" s="19"/>
      <c r="AL9941" s="19"/>
    </row>
    <row r="9942" spans="1:38" s="11" customFormat="1" x14ac:dyDescent="0.25">
      <c r="A9942" s="3"/>
      <c r="F9942" s="19"/>
      <c r="G9942" s="19"/>
      <c r="N9942" s="19"/>
      <c r="P9942" s="19"/>
      <c r="AL9942" s="19"/>
    </row>
    <row r="9943" spans="1:38" s="11" customFormat="1" x14ac:dyDescent="0.25">
      <c r="A9943" s="3"/>
      <c r="F9943" s="19"/>
      <c r="G9943" s="19"/>
      <c r="N9943" s="19"/>
      <c r="P9943" s="19"/>
      <c r="AL9943" s="19"/>
    </row>
    <row r="9944" spans="1:38" s="11" customFormat="1" x14ac:dyDescent="0.25">
      <c r="A9944" s="3"/>
      <c r="F9944" s="19"/>
      <c r="G9944" s="19"/>
      <c r="N9944" s="19"/>
      <c r="P9944" s="19"/>
      <c r="AL9944" s="19"/>
    </row>
    <row r="9945" spans="1:38" s="11" customFormat="1" x14ac:dyDescent="0.25">
      <c r="A9945" s="3"/>
      <c r="F9945" s="19"/>
      <c r="G9945" s="19"/>
      <c r="N9945" s="19"/>
      <c r="P9945" s="19"/>
      <c r="AL9945" s="19"/>
    </row>
    <row r="9946" spans="1:38" s="11" customFormat="1" x14ac:dyDescent="0.25">
      <c r="A9946" s="3"/>
      <c r="F9946" s="19"/>
      <c r="G9946" s="19"/>
      <c r="N9946" s="19"/>
      <c r="P9946" s="19"/>
      <c r="AL9946" s="19"/>
    </row>
    <row r="9947" spans="1:38" s="11" customFormat="1" x14ac:dyDescent="0.25">
      <c r="A9947" s="3"/>
      <c r="F9947" s="19"/>
      <c r="G9947" s="19"/>
      <c r="N9947" s="19"/>
      <c r="P9947" s="19"/>
      <c r="AL9947" s="19"/>
    </row>
    <row r="9948" spans="1:38" s="11" customFormat="1" x14ac:dyDescent="0.25">
      <c r="A9948" s="3"/>
      <c r="F9948" s="19"/>
      <c r="G9948" s="19"/>
      <c r="N9948" s="19"/>
      <c r="P9948" s="19"/>
      <c r="AL9948" s="19"/>
    </row>
    <row r="9949" spans="1:38" s="11" customFormat="1" x14ac:dyDescent="0.25">
      <c r="A9949" s="3"/>
      <c r="F9949" s="19"/>
      <c r="G9949" s="19"/>
      <c r="N9949" s="19"/>
      <c r="P9949" s="19"/>
      <c r="AL9949" s="19"/>
    </row>
    <row r="9950" spans="1:38" s="11" customFormat="1" x14ac:dyDescent="0.25">
      <c r="A9950" s="3"/>
      <c r="F9950" s="19"/>
      <c r="G9950" s="19"/>
      <c r="N9950" s="19"/>
      <c r="P9950" s="19"/>
      <c r="AL9950" s="19"/>
    </row>
    <row r="9951" spans="1:38" s="11" customFormat="1" x14ac:dyDescent="0.25">
      <c r="A9951" s="3"/>
      <c r="F9951" s="19"/>
      <c r="G9951" s="19"/>
      <c r="N9951" s="19"/>
      <c r="P9951" s="19"/>
      <c r="AL9951" s="19"/>
    </row>
    <row r="9952" spans="1:38" s="11" customFormat="1" x14ac:dyDescent="0.25">
      <c r="A9952" s="3"/>
      <c r="F9952" s="19"/>
      <c r="G9952" s="19"/>
      <c r="N9952" s="19"/>
      <c r="P9952" s="19"/>
      <c r="AL9952" s="19"/>
    </row>
    <row r="9953" spans="1:38" s="11" customFormat="1" x14ac:dyDescent="0.25">
      <c r="A9953" s="3"/>
      <c r="F9953" s="19"/>
      <c r="G9953" s="19"/>
      <c r="N9953" s="19"/>
      <c r="P9953" s="19"/>
      <c r="AL9953" s="19"/>
    </row>
    <row r="9954" spans="1:38" s="11" customFormat="1" x14ac:dyDescent="0.25">
      <c r="A9954" s="3"/>
      <c r="F9954" s="19"/>
      <c r="G9954" s="19"/>
      <c r="N9954" s="19"/>
      <c r="P9954" s="19"/>
      <c r="AL9954" s="19"/>
    </row>
    <row r="9955" spans="1:38" s="11" customFormat="1" x14ac:dyDescent="0.25">
      <c r="A9955" s="3"/>
      <c r="F9955" s="19"/>
      <c r="G9955" s="19"/>
      <c r="N9955" s="19"/>
      <c r="P9955" s="19"/>
      <c r="AL9955" s="19"/>
    </row>
    <row r="9956" spans="1:38" s="11" customFormat="1" x14ac:dyDescent="0.25">
      <c r="A9956" s="3"/>
      <c r="F9956" s="19"/>
      <c r="G9956" s="19"/>
      <c r="N9956" s="19"/>
      <c r="P9956" s="19"/>
      <c r="AL9956" s="19"/>
    </row>
    <row r="9957" spans="1:38" s="11" customFormat="1" x14ac:dyDescent="0.25">
      <c r="A9957" s="3"/>
      <c r="F9957" s="19"/>
      <c r="G9957" s="19"/>
      <c r="N9957" s="19"/>
      <c r="P9957" s="19"/>
      <c r="AL9957" s="19"/>
    </row>
    <row r="9958" spans="1:38" s="11" customFormat="1" x14ac:dyDescent="0.25">
      <c r="A9958" s="3"/>
      <c r="F9958" s="19"/>
      <c r="G9958" s="19"/>
      <c r="N9958" s="19"/>
      <c r="P9958" s="19"/>
      <c r="AL9958" s="19"/>
    </row>
    <row r="9959" spans="1:38" s="11" customFormat="1" x14ac:dyDescent="0.25">
      <c r="A9959" s="3"/>
      <c r="F9959" s="19"/>
      <c r="G9959" s="19"/>
      <c r="N9959" s="19"/>
      <c r="P9959" s="19"/>
      <c r="AL9959" s="19"/>
    </row>
    <row r="9960" spans="1:38" s="11" customFormat="1" x14ac:dyDescent="0.25">
      <c r="A9960" s="3"/>
      <c r="F9960" s="19"/>
      <c r="G9960" s="19"/>
      <c r="N9960" s="19"/>
      <c r="P9960" s="19"/>
      <c r="AL9960" s="19"/>
    </row>
    <row r="9961" spans="1:38" s="11" customFormat="1" x14ac:dyDescent="0.25">
      <c r="A9961" s="3"/>
      <c r="F9961" s="19"/>
      <c r="G9961" s="19"/>
      <c r="N9961" s="19"/>
      <c r="P9961" s="19"/>
      <c r="AL9961" s="19"/>
    </row>
    <row r="9962" spans="1:38" s="11" customFormat="1" x14ac:dyDescent="0.25">
      <c r="A9962" s="3"/>
      <c r="F9962" s="19"/>
      <c r="G9962" s="19"/>
      <c r="N9962" s="19"/>
      <c r="P9962" s="19"/>
      <c r="AL9962" s="19"/>
    </row>
    <row r="9963" spans="1:38" s="11" customFormat="1" x14ac:dyDescent="0.25">
      <c r="A9963" s="3"/>
      <c r="F9963" s="19"/>
      <c r="G9963" s="19"/>
      <c r="N9963" s="19"/>
      <c r="P9963" s="19"/>
      <c r="AL9963" s="19"/>
    </row>
    <row r="9964" spans="1:38" s="11" customFormat="1" x14ac:dyDescent="0.25">
      <c r="A9964" s="3"/>
      <c r="F9964" s="19"/>
      <c r="G9964" s="19"/>
      <c r="N9964" s="19"/>
      <c r="P9964" s="19"/>
      <c r="AL9964" s="19"/>
    </row>
    <row r="9965" spans="1:38" s="11" customFormat="1" x14ac:dyDescent="0.25">
      <c r="A9965" s="3"/>
      <c r="F9965" s="19"/>
      <c r="G9965" s="19"/>
      <c r="N9965" s="19"/>
      <c r="P9965" s="19"/>
      <c r="AL9965" s="19"/>
    </row>
    <row r="9966" spans="1:38" s="11" customFormat="1" x14ac:dyDescent="0.25">
      <c r="A9966" s="3"/>
      <c r="F9966" s="19"/>
      <c r="G9966" s="19"/>
      <c r="N9966" s="19"/>
      <c r="P9966" s="19"/>
      <c r="AL9966" s="19"/>
    </row>
    <row r="9967" spans="1:38" s="11" customFormat="1" x14ac:dyDescent="0.25">
      <c r="A9967" s="3"/>
      <c r="F9967" s="19"/>
      <c r="G9967" s="19"/>
      <c r="N9967" s="19"/>
      <c r="P9967" s="19"/>
      <c r="AL9967" s="19"/>
    </row>
    <row r="9968" spans="1:38" s="11" customFormat="1" x14ac:dyDescent="0.25">
      <c r="A9968" s="3"/>
      <c r="F9968" s="19"/>
      <c r="G9968" s="19"/>
      <c r="N9968" s="19"/>
      <c r="P9968" s="19"/>
      <c r="AL9968" s="19"/>
    </row>
    <row r="9969" spans="1:38" s="11" customFormat="1" x14ac:dyDescent="0.25">
      <c r="A9969" s="3"/>
      <c r="F9969" s="19"/>
      <c r="G9969" s="19"/>
      <c r="N9969" s="19"/>
      <c r="P9969" s="19"/>
      <c r="AL9969" s="19"/>
    </row>
    <row r="9970" spans="1:38" s="11" customFormat="1" x14ac:dyDescent="0.25">
      <c r="A9970" s="3"/>
      <c r="F9970" s="19"/>
      <c r="G9970" s="19"/>
      <c r="N9970" s="19"/>
      <c r="P9970" s="19"/>
      <c r="AL9970" s="19"/>
    </row>
    <row r="9971" spans="1:38" s="11" customFormat="1" x14ac:dyDescent="0.25">
      <c r="A9971" s="3"/>
      <c r="F9971" s="19"/>
      <c r="G9971" s="19"/>
      <c r="N9971" s="19"/>
      <c r="P9971" s="19"/>
      <c r="AL9971" s="19"/>
    </row>
    <row r="9972" spans="1:38" s="11" customFormat="1" x14ac:dyDescent="0.25">
      <c r="A9972" s="3"/>
      <c r="F9972" s="19"/>
      <c r="G9972" s="19"/>
      <c r="N9972" s="19"/>
      <c r="P9972" s="19"/>
      <c r="AL9972" s="19"/>
    </row>
    <row r="9973" spans="1:38" s="11" customFormat="1" x14ac:dyDescent="0.25">
      <c r="A9973" s="3"/>
      <c r="F9973" s="19"/>
      <c r="G9973" s="19"/>
      <c r="N9973" s="19"/>
      <c r="P9973" s="19"/>
      <c r="AL9973" s="19"/>
    </row>
    <row r="9974" spans="1:38" s="11" customFormat="1" x14ac:dyDescent="0.25">
      <c r="A9974" s="3"/>
      <c r="F9974" s="19"/>
      <c r="G9974" s="19"/>
      <c r="N9974" s="19"/>
      <c r="P9974" s="19"/>
      <c r="AL9974" s="19"/>
    </row>
    <row r="9975" spans="1:38" s="11" customFormat="1" x14ac:dyDescent="0.25">
      <c r="A9975" s="3"/>
      <c r="F9975" s="19"/>
      <c r="G9975" s="19"/>
      <c r="N9975" s="19"/>
      <c r="P9975" s="19"/>
      <c r="AL9975" s="19"/>
    </row>
    <row r="9976" spans="1:38" s="11" customFormat="1" x14ac:dyDescent="0.25">
      <c r="A9976" s="3"/>
      <c r="F9976" s="19"/>
      <c r="G9976" s="19"/>
      <c r="N9976" s="19"/>
      <c r="P9976" s="19"/>
      <c r="AL9976" s="19"/>
    </row>
    <row r="9977" spans="1:38" s="11" customFormat="1" x14ac:dyDescent="0.25">
      <c r="A9977" s="3"/>
      <c r="F9977" s="19"/>
      <c r="G9977" s="19"/>
      <c r="N9977" s="19"/>
      <c r="P9977" s="19"/>
      <c r="AL9977" s="19"/>
    </row>
    <row r="9978" spans="1:38" s="11" customFormat="1" x14ac:dyDescent="0.25">
      <c r="A9978" s="3"/>
      <c r="F9978" s="19"/>
      <c r="G9978" s="19"/>
      <c r="N9978" s="19"/>
      <c r="P9978" s="19"/>
      <c r="AL9978" s="19"/>
    </row>
    <row r="9979" spans="1:38" s="11" customFormat="1" x14ac:dyDescent="0.25">
      <c r="A9979" s="3"/>
      <c r="F9979" s="19"/>
      <c r="G9979" s="19"/>
      <c r="N9979" s="19"/>
      <c r="P9979" s="19"/>
      <c r="AL9979" s="19"/>
    </row>
    <row r="9980" spans="1:38" s="11" customFormat="1" x14ac:dyDescent="0.25">
      <c r="A9980" s="3"/>
      <c r="F9980" s="19"/>
      <c r="G9980" s="19"/>
      <c r="N9980" s="19"/>
      <c r="P9980" s="19"/>
      <c r="AL9980" s="19"/>
    </row>
    <row r="9981" spans="1:38" s="11" customFormat="1" x14ac:dyDescent="0.25">
      <c r="A9981" s="3"/>
      <c r="F9981" s="19"/>
      <c r="G9981" s="19"/>
      <c r="N9981" s="19"/>
      <c r="P9981" s="19"/>
      <c r="AL9981" s="19"/>
    </row>
    <row r="9982" spans="1:38" s="11" customFormat="1" x14ac:dyDescent="0.25">
      <c r="A9982" s="3"/>
      <c r="F9982" s="19"/>
      <c r="G9982" s="19"/>
      <c r="N9982" s="19"/>
      <c r="P9982" s="19"/>
      <c r="AL9982" s="19"/>
    </row>
    <row r="9983" spans="1:38" s="11" customFormat="1" x14ac:dyDescent="0.25">
      <c r="A9983" s="3"/>
      <c r="F9983" s="19"/>
      <c r="G9983" s="19"/>
      <c r="N9983" s="19"/>
      <c r="P9983" s="19"/>
      <c r="AL9983" s="19"/>
    </row>
    <row r="9984" spans="1:38" s="11" customFormat="1" x14ac:dyDescent="0.25">
      <c r="A9984" s="3"/>
      <c r="F9984" s="19"/>
      <c r="G9984" s="19"/>
      <c r="N9984" s="19"/>
      <c r="P9984" s="19"/>
      <c r="AL9984" s="19"/>
    </row>
    <row r="9985" spans="1:38" s="11" customFormat="1" x14ac:dyDescent="0.25">
      <c r="A9985" s="3"/>
      <c r="F9985" s="19"/>
      <c r="G9985" s="19"/>
      <c r="N9985" s="19"/>
      <c r="P9985" s="19"/>
      <c r="AL9985" s="19"/>
    </row>
    <row r="9986" spans="1:38" s="11" customFormat="1" x14ac:dyDescent="0.25">
      <c r="A9986" s="3"/>
      <c r="F9986" s="19"/>
      <c r="G9986" s="19"/>
      <c r="N9986" s="19"/>
      <c r="P9986" s="19"/>
      <c r="AL9986" s="19"/>
    </row>
    <row r="9987" spans="1:38" s="11" customFormat="1" x14ac:dyDescent="0.25">
      <c r="A9987" s="3"/>
      <c r="F9987" s="19"/>
      <c r="G9987" s="19"/>
      <c r="N9987" s="19"/>
      <c r="P9987" s="19"/>
      <c r="AL9987" s="19"/>
    </row>
    <row r="9988" spans="1:38" s="11" customFormat="1" x14ac:dyDescent="0.25">
      <c r="A9988" s="3"/>
      <c r="F9988" s="19"/>
      <c r="G9988" s="19"/>
      <c r="N9988" s="19"/>
      <c r="P9988" s="19"/>
      <c r="AL9988" s="19"/>
    </row>
    <row r="9989" spans="1:38" s="11" customFormat="1" x14ac:dyDescent="0.25">
      <c r="A9989" s="3"/>
      <c r="F9989" s="19"/>
      <c r="G9989" s="19"/>
      <c r="N9989" s="19"/>
      <c r="P9989" s="19"/>
      <c r="AL9989" s="19"/>
    </row>
    <row r="9990" spans="1:38" s="11" customFormat="1" x14ac:dyDescent="0.25">
      <c r="A9990" s="3"/>
      <c r="F9990" s="19"/>
      <c r="G9990" s="19"/>
      <c r="N9990" s="19"/>
      <c r="P9990" s="19"/>
      <c r="AL9990" s="19"/>
    </row>
    <row r="9991" spans="1:38" s="11" customFormat="1" x14ac:dyDescent="0.25">
      <c r="A9991" s="3"/>
      <c r="F9991" s="19"/>
      <c r="G9991" s="19"/>
      <c r="N9991" s="19"/>
      <c r="P9991" s="19"/>
      <c r="AL9991" s="19"/>
    </row>
    <row r="9992" spans="1:38" s="11" customFormat="1" x14ac:dyDescent="0.25">
      <c r="A9992" s="3"/>
      <c r="F9992" s="19"/>
      <c r="G9992" s="19"/>
      <c r="N9992" s="19"/>
      <c r="P9992" s="19"/>
      <c r="AL9992" s="19"/>
    </row>
    <row r="9993" spans="1:38" s="11" customFormat="1" x14ac:dyDescent="0.25">
      <c r="A9993" s="3"/>
      <c r="F9993" s="19"/>
      <c r="G9993" s="19"/>
      <c r="N9993" s="19"/>
      <c r="P9993" s="19"/>
      <c r="AL9993" s="19"/>
    </row>
    <row r="9994" spans="1:38" s="11" customFormat="1" x14ac:dyDescent="0.25">
      <c r="A9994" s="3"/>
      <c r="F9994" s="19"/>
      <c r="G9994" s="19"/>
      <c r="N9994" s="19"/>
      <c r="P9994" s="19"/>
      <c r="AL9994" s="19"/>
    </row>
    <row r="9995" spans="1:38" s="11" customFormat="1" x14ac:dyDescent="0.25">
      <c r="A9995" s="3"/>
      <c r="F9995" s="19"/>
      <c r="G9995" s="19"/>
      <c r="N9995" s="19"/>
      <c r="P9995" s="19"/>
      <c r="AL9995" s="19"/>
    </row>
    <row r="9996" spans="1:38" s="11" customFormat="1" x14ac:dyDescent="0.25">
      <c r="A9996" s="3"/>
      <c r="F9996" s="19"/>
      <c r="G9996" s="19"/>
      <c r="N9996" s="19"/>
      <c r="P9996" s="19"/>
      <c r="AL9996" s="19"/>
    </row>
    <row r="9997" spans="1:38" s="11" customFormat="1" x14ac:dyDescent="0.25">
      <c r="A9997" s="3"/>
      <c r="F9997" s="19"/>
      <c r="G9997" s="19"/>
      <c r="N9997" s="19"/>
      <c r="P9997" s="19"/>
      <c r="AL9997" s="19"/>
    </row>
    <row r="9998" spans="1:38" s="11" customFormat="1" x14ac:dyDescent="0.25">
      <c r="A9998" s="3"/>
      <c r="F9998" s="19"/>
      <c r="G9998" s="19"/>
      <c r="N9998" s="19"/>
      <c r="P9998" s="19"/>
      <c r="AL9998" s="19"/>
    </row>
    <row r="9999" spans="1:38" s="11" customFormat="1" x14ac:dyDescent="0.25">
      <c r="A9999" s="3"/>
      <c r="F9999" s="19"/>
      <c r="G9999" s="19"/>
      <c r="N9999" s="19"/>
      <c r="P9999" s="19"/>
      <c r="AL9999" s="19"/>
    </row>
    <row r="10000" spans="1:38" s="11" customFormat="1" x14ac:dyDescent="0.25">
      <c r="A10000" s="3"/>
      <c r="F10000" s="19"/>
      <c r="G10000" s="19"/>
      <c r="N10000" s="19"/>
      <c r="P10000" s="19"/>
      <c r="AL10000" s="19"/>
    </row>
    <row r="10001" spans="1:38" s="11" customFormat="1" x14ac:dyDescent="0.25">
      <c r="A10001" s="3"/>
      <c r="F10001" s="19"/>
      <c r="G10001" s="19"/>
      <c r="N10001" s="19"/>
      <c r="P10001" s="19"/>
      <c r="AL10001" s="19"/>
    </row>
    <row r="10002" spans="1:38" s="11" customFormat="1" x14ac:dyDescent="0.25">
      <c r="A10002" s="3"/>
      <c r="F10002" s="19"/>
      <c r="G10002" s="19"/>
      <c r="N10002" s="19"/>
      <c r="P10002" s="19"/>
      <c r="AL10002" s="19"/>
    </row>
    <row r="10003" spans="1:38" s="11" customFormat="1" x14ac:dyDescent="0.25">
      <c r="A10003" s="3"/>
      <c r="F10003" s="19"/>
      <c r="G10003" s="19"/>
      <c r="N10003" s="19"/>
      <c r="P10003" s="19"/>
      <c r="AL10003" s="19"/>
    </row>
    <row r="10004" spans="1:38" s="11" customFormat="1" x14ac:dyDescent="0.25">
      <c r="A10004" s="3"/>
      <c r="F10004" s="19"/>
      <c r="G10004" s="19"/>
      <c r="N10004" s="19"/>
      <c r="P10004" s="19"/>
      <c r="AL10004" s="19"/>
    </row>
    <row r="10005" spans="1:38" s="11" customFormat="1" x14ac:dyDescent="0.25">
      <c r="A10005" s="3"/>
      <c r="F10005" s="19"/>
      <c r="G10005" s="19"/>
      <c r="N10005" s="19"/>
      <c r="P10005" s="19"/>
      <c r="AL10005" s="19"/>
    </row>
    <row r="10006" spans="1:38" s="11" customFormat="1" x14ac:dyDescent="0.25">
      <c r="A10006" s="3"/>
      <c r="F10006" s="19"/>
      <c r="G10006" s="19"/>
      <c r="N10006" s="19"/>
      <c r="P10006" s="19"/>
      <c r="AL10006" s="19"/>
    </row>
    <row r="10007" spans="1:38" s="11" customFormat="1" x14ac:dyDescent="0.25">
      <c r="A10007" s="3"/>
      <c r="F10007" s="19"/>
      <c r="G10007" s="19"/>
      <c r="N10007" s="19"/>
      <c r="P10007" s="19"/>
      <c r="AL10007" s="19"/>
    </row>
    <row r="10008" spans="1:38" s="11" customFormat="1" x14ac:dyDescent="0.25">
      <c r="A10008" s="3"/>
      <c r="F10008" s="19"/>
      <c r="G10008" s="19"/>
      <c r="N10008" s="19"/>
      <c r="P10008" s="19"/>
      <c r="AL10008" s="19"/>
    </row>
    <row r="10009" spans="1:38" s="11" customFormat="1" x14ac:dyDescent="0.25">
      <c r="A10009" s="3"/>
      <c r="F10009" s="19"/>
      <c r="G10009" s="19"/>
      <c r="N10009" s="19"/>
      <c r="P10009" s="19"/>
      <c r="AL10009" s="19"/>
    </row>
    <row r="10010" spans="1:38" s="11" customFormat="1" x14ac:dyDescent="0.25">
      <c r="A10010" s="3"/>
      <c r="F10010" s="19"/>
      <c r="G10010" s="19"/>
      <c r="N10010" s="19"/>
      <c r="P10010" s="19"/>
      <c r="AL10010" s="19"/>
    </row>
    <row r="10011" spans="1:38" s="11" customFormat="1" x14ac:dyDescent="0.25">
      <c r="A10011" s="3"/>
      <c r="F10011" s="19"/>
      <c r="G10011" s="19"/>
      <c r="N10011" s="19"/>
      <c r="P10011" s="19"/>
      <c r="AL10011" s="19"/>
    </row>
    <row r="10012" spans="1:38" s="11" customFormat="1" x14ac:dyDescent="0.25">
      <c r="A10012" s="3"/>
      <c r="F10012" s="19"/>
      <c r="G10012" s="19"/>
      <c r="N10012" s="19"/>
      <c r="P10012" s="19"/>
      <c r="AL10012" s="19"/>
    </row>
    <row r="10013" spans="1:38" s="11" customFormat="1" x14ac:dyDescent="0.25">
      <c r="A10013" s="3"/>
      <c r="F10013" s="19"/>
      <c r="G10013" s="19"/>
      <c r="N10013" s="19"/>
      <c r="P10013" s="19"/>
      <c r="AL10013" s="19"/>
    </row>
    <row r="10014" spans="1:38" s="11" customFormat="1" x14ac:dyDescent="0.25">
      <c r="A10014" s="3"/>
      <c r="F10014" s="19"/>
      <c r="G10014" s="19"/>
      <c r="N10014" s="19"/>
      <c r="P10014" s="19"/>
      <c r="AL10014" s="19"/>
    </row>
    <row r="10015" spans="1:38" s="11" customFormat="1" x14ac:dyDescent="0.25">
      <c r="A10015" s="3"/>
      <c r="F10015" s="19"/>
      <c r="G10015" s="19"/>
      <c r="N10015" s="19"/>
      <c r="P10015" s="19"/>
      <c r="AL10015" s="19"/>
    </row>
    <row r="10016" spans="1:38" s="11" customFormat="1" x14ac:dyDescent="0.25">
      <c r="A10016" s="3"/>
      <c r="F10016" s="19"/>
      <c r="G10016" s="19"/>
      <c r="N10016" s="19"/>
      <c r="P10016" s="19"/>
      <c r="AL10016" s="19"/>
    </row>
    <row r="10017" spans="1:38" s="11" customFormat="1" x14ac:dyDescent="0.25">
      <c r="A10017" s="3"/>
      <c r="F10017" s="19"/>
      <c r="G10017" s="19"/>
      <c r="N10017" s="19"/>
      <c r="P10017" s="19"/>
      <c r="AL10017" s="19"/>
    </row>
    <row r="10018" spans="1:38" s="11" customFormat="1" x14ac:dyDescent="0.25">
      <c r="A10018" s="3"/>
      <c r="F10018" s="19"/>
      <c r="G10018" s="19"/>
      <c r="N10018" s="19"/>
      <c r="P10018" s="19"/>
      <c r="AL10018" s="19"/>
    </row>
    <row r="10019" spans="1:38" s="11" customFormat="1" x14ac:dyDescent="0.25">
      <c r="A10019" s="3"/>
      <c r="F10019" s="19"/>
      <c r="G10019" s="19"/>
      <c r="N10019" s="19"/>
      <c r="P10019" s="19"/>
      <c r="AL10019" s="19"/>
    </row>
    <row r="10020" spans="1:38" s="11" customFormat="1" x14ac:dyDescent="0.25">
      <c r="A10020" s="3"/>
      <c r="F10020" s="19"/>
      <c r="G10020" s="19"/>
      <c r="N10020" s="19"/>
      <c r="P10020" s="19"/>
      <c r="AL10020" s="19"/>
    </row>
    <row r="10021" spans="1:38" s="11" customFormat="1" x14ac:dyDescent="0.25">
      <c r="A10021" s="3"/>
      <c r="F10021" s="19"/>
      <c r="G10021" s="19"/>
      <c r="N10021" s="19"/>
      <c r="P10021" s="19"/>
      <c r="AL10021" s="19"/>
    </row>
    <row r="10022" spans="1:38" s="11" customFormat="1" x14ac:dyDescent="0.25">
      <c r="A10022" s="3"/>
      <c r="F10022" s="19"/>
      <c r="G10022" s="19"/>
      <c r="N10022" s="19"/>
      <c r="P10022" s="19"/>
      <c r="AL10022" s="19"/>
    </row>
    <row r="10023" spans="1:38" s="11" customFormat="1" x14ac:dyDescent="0.25">
      <c r="A10023" s="3"/>
      <c r="F10023" s="19"/>
      <c r="G10023" s="19"/>
      <c r="N10023" s="19"/>
      <c r="P10023" s="19"/>
      <c r="AL10023" s="19"/>
    </row>
    <row r="10024" spans="1:38" s="11" customFormat="1" x14ac:dyDescent="0.25">
      <c r="A10024" s="3"/>
      <c r="F10024" s="19"/>
      <c r="G10024" s="19"/>
      <c r="N10024" s="19"/>
      <c r="P10024" s="19"/>
      <c r="AL10024" s="19"/>
    </row>
    <row r="10025" spans="1:38" s="11" customFormat="1" x14ac:dyDescent="0.25">
      <c r="A10025" s="3"/>
      <c r="F10025" s="19"/>
      <c r="G10025" s="19"/>
      <c r="N10025" s="19"/>
      <c r="P10025" s="19"/>
      <c r="AL10025" s="19"/>
    </row>
    <row r="10026" spans="1:38" s="11" customFormat="1" x14ac:dyDescent="0.25">
      <c r="A10026" s="3"/>
      <c r="F10026" s="19"/>
      <c r="G10026" s="19"/>
      <c r="N10026" s="19"/>
      <c r="P10026" s="19"/>
      <c r="AL10026" s="19"/>
    </row>
    <row r="10027" spans="1:38" s="11" customFormat="1" x14ac:dyDescent="0.25">
      <c r="A10027" s="3"/>
      <c r="F10027" s="19"/>
      <c r="G10027" s="19"/>
      <c r="N10027" s="19"/>
      <c r="P10027" s="19"/>
      <c r="AL10027" s="19"/>
    </row>
    <row r="10028" spans="1:38" s="11" customFormat="1" x14ac:dyDescent="0.25">
      <c r="A10028" s="3"/>
      <c r="F10028" s="19"/>
      <c r="G10028" s="19"/>
      <c r="N10028" s="19"/>
      <c r="P10028" s="19"/>
      <c r="AL10028" s="19"/>
    </row>
    <row r="10029" spans="1:38" s="11" customFormat="1" x14ac:dyDescent="0.25">
      <c r="A10029" s="3"/>
      <c r="F10029" s="19"/>
      <c r="G10029" s="19"/>
      <c r="N10029" s="19"/>
      <c r="P10029" s="19"/>
      <c r="AL10029" s="19"/>
    </row>
    <row r="10030" spans="1:38" s="11" customFormat="1" x14ac:dyDescent="0.25">
      <c r="A10030" s="3"/>
      <c r="F10030" s="19"/>
      <c r="G10030" s="19"/>
      <c r="N10030" s="19"/>
      <c r="P10030" s="19"/>
      <c r="AL10030" s="19"/>
    </row>
    <row r="10031" spans="1:38" s="11" customFormat="1" x14ac:dyDescent="0.25">
      <c r="A10031" s="3"/>
      <c r="F10031" s="19"/>
      <c r="G10031" s="19"/>
      <c r="N10031" s="19"/>
      <c r="P10031" s="19"/>
      <c r="AL10031" s="19"/>
    </row>
    <row r="10032" spans="1:38" s="11" customFormat="1" x14ac:dyDescent="0.25">
      <c r="A10032" s="3"/>
      <c r="F10032" s="19"/>
      <c r="G10032" s="19"/>
      <c r="N10032" s="19"/>
      <c r="P10032" s="19"/>
      <c r="AL10032" s="19"/>
    </row>
    <row r="10033" spans="1:38" s="11" customFormat="1" x14ac:dyDescent="0.25">
      <c r="A10033" s="3"/>
      <c r="F10033" s="19"/>
      <c r="G10033" s="19"/>
      <c r="N10033" s="19"/>
      <c r="P10033" s="19"/>
      <c r="AL10033" s="19"/>
    </row>
    <row r="10034" spans="1:38" s="11" customFormat="1" x14ac:dyDescent="0.25">
      <c r="A10034" s="3"/>
      <c r="F10034" s="19"/>
      <c r="G10034" s="19"/>
      <c r="N10034" s="19"/>
      <c r="P10034" s="19"/>
      <c r="AL10034" s="19"/>
    </row>
    <row r="10035" spans="1:38" s="11" customFormat="1" x14ac:dyDescent="0.25">
      <c r="A10035" s="3"/>
      <c r="F10035" s="19"/>
      <c r="G10035" s="19"/>
      <c r="N10035" s="19"/>
      <c r="P10035" s="19"/>
      <c r="AL10035" s="19"/>
    </row>
    <row r="10036" spans="1:38" s="11" customFormat="1" x14ac:dyDescent="0.25">
      <c r="A10036" s="3"/>
      <c r="F10036" s="19"/>
      <c r="G10036" s="19"/>
      <c r="N10036" s="19"/>
      <c r="P10036" s="19"/>
      <c r="AL10036" s="19"/>
    </row>
    <row r="10037" spans="1:38" s="11" customFormat="1" x14ac:dyDescent="0.25">
      <c r="A10037" s="3"/>
      <c r="F10037" s="19"/>
      <c r="G10037" s="19"/>
      <c r="N10037" s="19"/>
      <c r="P10037" s="19"/>
      <c r="AL10037" s="19"/>
    </row>
    <row r="10038" spans="1:38" s="11" customFormat="1" x14ac:dyDescent="0.25">
      <c r="A10038" s="3"/>
      <c r="F10038" s="19"/>
      <c r="G10038" s="19"/>
      <c r="N10038" s="19"/>
      <c r="P10038" s="19"/>
      <c r="AL10038" s="19"/>
    </row>
    <row r="10039" spans="1:38" s="11" customFormat="1" x14ac:dyDescent="0.25">
      <c r="A10039" s="3"/>
      <c r="F10039" s="19"/>
      <c r="G10039" s="19"/>
      <c r="N10039" s="19"/>
      <c r="P10039" s="19"/>
      <c r="AL10039" s="19"/>
    </row>
    <row r="10040" spans="1:38" s="11" customFormat="1" x14ac:dyDescent="0.25">
      <c r="A10040" s="3"/>
      <c r="F10040" s="19"/>
      <c r="G10040" s="19"/>
      <c r="N10040" s="19"/>
      <c r="P10040" s="19"/>
      <c r="AL10040" s="19"/>
    </row>
    <row r="10041" spans="1:38" s="11" customFormat="1" x14ac:dyDescent="0.25">
      <c r="A10041" s="3"/>
      <c r="F10041" s="19"/>
      <c r="G10041" s="19"/>
      <c r="N10041" s="19"/>
      <c r="P10041" s="19"/>
      <c r="AL10041" s="19"/>
    </row>
    <row r="10042" spans="1:38" s="11" customFormat="1" x14ac:dyDescent="0.25">
      <c r="A10042" s="3"/>
      <c r="F10042" s="19"/>
      <c r="G10042" s="19"/>
      <c r="N10042" s="19"/>
      <c r="P10042" s="19"/>
      <c r="AL10042" s="19"/>
    </row>
    <row r="10043" spans="1:38" s="11" customFormat="1" x14ac:dyDescent="0.25">
      <c r="A10043" s="3"/>
      <c r="F10043" s="19"/>
      <c r="G10043" s="19"/>
      <c r="N10043" s="19"/>
      <c r="P10043" s="19"/>
      <c r="AL10043" s="19"/>
    </row>
    <row r="10044" spans="1:38" s="11" customFormat="1" x14ac:dyDescent="0.25">
      <c r="A10044" s="3"/>
      <c r="F10044" s="19"/>
      <c r="G10044" s="19"/>
      <c r="N10044" s="19"/>
      <c r="P10044" s="19"/>
      <c r="AL10044" s="19"/>
    </row>
    <row r="10045" spans="1:38" s="11" customFormat="1" x14ac:dyDescent="0.25">
      <c r="A10045" s="3"/>
      <c r="F10045" s="19"/>
      <c r="G10045" s="19"/>
      <c r="N10045" s="19"/>
      <c r="P10045" s="19"/>
      <c r="AL10045" s="19"/>
    </row>
    <row r="10046" spans="1:38" s="11" customFormat="1" x14ac:dyDescent="0.25">
      <c r="A10046" s="3"/>
      <c r="F10046" s="19"/>
      <c r="G10046" s="19"/>
      <c r="N10046" s="19"/>
      <c r="P10046" s="19"/>
      <c r="AL10046" s="19"/>
    </row>
    <row r="10047" spans="1:38" s="11" customFormat="1" x14ac:dyDescent="0.25">
      <c r="A10047" s="3"/>
      <c r="F10047" s="19"/>
      <c r="G10047" s="19"/>
      <c r="N10047" s="19"/>
      <c r="P10047" s="19"/>
      <c r="AL10047" s="19"/>
    </row>
    <row r="10048" spans="1:38" s="11" customFormat="1" x14ac:dyDescent="0.25">
      <c r="A10048" s="3"/>
      <c r="F10048" s="19"/>
      <c r="G10048" s="19"/>
      <c r="N10048" s="19"/>
      <c r="P10048" s="19"/>
      <c r="AL10048" s="19"/>
    </row>
    <row r="10049" spans="1:38" s="11" customFormat="1" x14ac:dyDescent="0.25">
      <c r="A10049" s="3"/>
      <c r="F10049" s="19"/>
      <c r="G10049" s="19"/>
      <c r="N10049" s="19"/>
      <c r="P10049" s="19"/>
      <c r="AL10049" s="19"/>
    </row>
    <row r="10050" spans="1:38" s="11" customFormat="1" x14ac:dyDescent="0.25">
      <c r="A10050" s="3"/>
      <c r="F10050" s="19"/>
      <c r="G10050" s="19"/>
      <c r="N10050" s="19"/>
      <c r="P10050" s="19"/>
      <c r="AL10050" s="19"/>
    </row>
    <row r="10051" spans="1:38" s="11" customFormat="1" x14ac:dyDescent="0.25">
      <c r="A10051" s="3"/>
      <c r="F10051" s="19"/>
      <c r="G10051" s="19"/>
      <c r="N10051" s="19"/>
      <c r="P10051" s="19"/>
      <c r="AL10051" s="19"/>
    </row>
    <row r="10052" spans="1:38" s="11" customFormat="1" x14ac:dyDescent="0.25">
      <c r="A10052" s="3"/>
      <c r="F10052" s="19"/>
      <c r="G10052" s="19"/>
      <c r="N10052" s="19"/>
      <c r="P10052" s="19"/>
      <c r="AL10052" s="19"/>
    </row>
    <row r="10053" spans="1:38" s="11" customFormat="1" x14ac:dyDescent="0.25">
      <c r="A10053" s="3"/>
      <c r="F10053" s="19"/>
      <c r="G10053" s="19"/>
      <c r="N10053" s="19"/>
      <c r="P10053" s="19"/>
      <c r="AL10053" s="19"/>
    </row>
    <row r="10054" spans="1:38" s="11" customFormat="1" x14ac:dyDescent="0.25">
      <c r="A10054" s="3"/>
      <c r="F10054" s="19"/>
      <c r="G10054" s="19"/>
      <c r="N10054" s="19"/>
      <c r="P10054" s="19"/>
      <c r="AL10054" s="19"/>
    </row>
    <row r="10055" spans="1:38" s="11" customFormat="1" x14ac:dyDescent="0.25">
      <c r="A10055" s="3"/>
      <c r="F10055" s="19"/>
      <c r="G10055" s="19"/>
      <c r="N10055" s="19"/>
      <c r="P10055" s="19"/>
      <c r="AL10055" s="19"/>
    </row>
    <row r="10056" spans="1:38" s="11" customFormat="1" x14ac:dyDescent="0.25">
      <c r="A10056" s="3"/>
      <c r="F10056" s="19"/>
      <c r="G10056" s="19"/>
      <c r="N10056" s="19"/>
      <c r="P10056" s="19"/>
      <c r="AL10056" s="19"/>
    </row>
    <row r="10057" spans="1:38" s="11" customFormat="1" x14ac:dyDescent="0.25">
      <c r="A10057" s="3"/>
      <c r="F10057" s="19"/>
      <c r="G10057" s="19"/>
      <c r="N10057" s="19"/>
      <c r="P10057" s="19"/>
      <c r="AL10057" s="19"/>
    </row>
    <row r="10058" spans="1:38" s="11" customFormat="1" x14ac:dyDescent="0.25">
      <c r="A10058" s="3"/>
      <c r="F10058" s="19"/>
      <c r="G10058" s="19"/>
      <c r="N10058" s="19"/>
      <c r="P10058" s="19"/>
      <c r="AL10058" s="19"/>
    </row>
    <row r="10059" spans="1:38" s="11" customFormat="1" x14ac:dyDescent="0.25">
      <c r="A10059" s="3"/>
      <c r="F10059" s="19"/>
      <c r="G10059" s="19"/>
      <c r="N10059" s="19"/>
      <c r="P10059" s="19"/>
      <c r="AL10059" s="19"/>
    </row>
    <row r="10060" spans="1:38" s="11" customFormat="1" x14ac:dyDescent="0.25">
      <c r="A10060" s="3"/>
      <c r="F10060" s="19"/>
      <c r="G10060" s="19"/>
      <c r="N10060" s="19"/>
      <c r="P10060" s="19"/>
      <c r="AL10060" s="19"/>
    </row>
    <row r="10061" spans="1:38" s="11" customFormat="1" x14ac:dyDescent="0.25">
      <c r="A10061" s="3"/>
      <c r="F10061" s="19"/>
      <c r="G10061" s="19"/>
      <c r="N10061" s="19"/>
      <c r="P10061" s="19"/>
      <c r="AL10061" s="19"/>
    </row>
    <row r="10062" spans="1:38" s="11" customFormat="1" x14ac:dyDescent="0.25">
      <c r="A10062" s="3"/>
      <c r="F10062" s="19"/>
      <c r="G10062" s="19"/>
      <c r="N10062" s="19"/>
      <c r="P10062" s="19"/>
      <c r="AL10062" s="19"/>
    </row>
    <row r="10063" spans="1:38" s="11" customFormat="1" x14ac:dyDescent="0.25">
      <c r="A10063" s="3"/>
      <c r="F10063" s="19"/>
      <c r="G10063" s="19"/>
      <c r="N10063" s="19"/>
      <c r="P10063" s="19"/>
      <c r="AL10063" s="19"/>
    </row>
    <row r="10064" spans="1:38" s="11" customFormat="1" x14ac:dyDescent="0.25">
      <c r="A10064" s="3"/>
      <c r="F10064" s="19"/>
      <c r="G10064" s="19"/>
      <c r="N10064" s="19"/>
      <c r="P10064" s="19"/>
      <c r="AL10064" s="19"/>
    </row>
    <row r="10065" spans="1:38" s="11" customFormat="1" x14ac:dyDescent="0.25">
      <c r="A10065" s="3"/>
      <c r="F10065" s="19"/>
      <c r="G10065" s="19"/>
      <c r="N10065" s="19"/>
      <c r="P10065" s="19"/>
      <c r="AL10065" s="19"/>
    </row>
    <row r="10066" spans="1:38" s="11" customFormat="1" x14ac:dyDescent="0.25">
      <c r="A10066" s="3"/>
      <c r="F10066" s="19"/>
      <c r="G10066" s="19"/>
      <c r="N10066" s="19"/>
      <c r="P10066" s="19"/>
      <c r="AL10066" s="19"/>
    </row>
    <row r="10067" spans="1:38" s="11" customFormat="1" x14ac:dyDescent="0.25">
      <c r="A10067" s="3"/>
      <c r="F10067" s="19"/>
      <c r="G10067" s="19"/>
      <c r="N10067" s="19"/>
      <c r="P10067" s="19"/>
      <c r="AL10067" s="19"/>
    </row>
    <row r="10068" spans="1:38" s="11" customFormat="1" x14ac:dyDescent="0.25">
      <c r="A10068" s="3"/>
      <c r="F10068" s="19"/>
      <c r="G10068" s="19"/>
      <c r="N10068" s="19"/>
      <c r="P10068" s="19"/>
      <c r="AL10068" s="19"/>
    </row>
    <row r="10069" spans="1:38" s="11" customFormat="1" x14ac:dyDescent="0.25">
      <c r="A10069" s="3"/>
      <c r="F10069" s="19"/>
      <c r="G10069" s="19"/>
      <c r="N10069" s="19"/>
      <c r="P10069" s="19"/>
      <c r="AL10069" s="19"/>
    </row>
    <row r="10070" spans="1:38" s="11" customFormat="1" x14ac:dyDescent="0.25">
      <c r="A10070" s="3"/>
      <c r="F10070" s="19"/>
      <c r="G10070" s="19"/>
      <c r="N10070" s="19"/>
      <c r="P10070" s="19"/>
      <c r="AL10070" s="19"/>
    </row>
    <row r="10071" spans="1:38" s="11" customFormat="1" x14ac:dyDescent="0.25">
      <c r="A10071" s="3"/>
      <c r="F10071" s="19"/>
      <c r="G10071" s="19"/>
      <c r="N10071" s="19"/>
      <c r="P10071" s="19"/>
      <c r="AL10071" s="19"/>
    </row>
    <row r="10072" spans="1:38" s="11" customFormat="1" x14ac:dyDescent="0.25">
      <c r="A10072" s="3"/>
      <c r="F10072" s="19"/>
      <c r="G10072" s="19"/>
      <c r="N10072" s="19"/>
      <c r="P10072" s="19"/>
      <c r="AL10072" s="19"/>
    </row>
    <row r="10073" spans="1:38" s="11" customFormat="1" x14ac:dyDescent="0.25">
      <c r="A10073" s="3"/>
      <c r="F10073" s="19"/>
      <c r="G10073" s="19"/>
      <c r="N10073" s="19"/>
      <c r="P10073" s="19"/>
      <c r="AL10073" s="19"/>
    </row>
    <row r="10074" spans="1:38" s="11" customFormat="1" x14ac:dyDescent="0.25">
      <c r="A10074" s="3"/>
      <c r="F10074" s="19"/>
      <c r="G10074" s="19"/>
      <c r="N10074" s="19"/>
      <c r="P10074" s="19"/>
      <c r="AL10074" s="19"/>
    </row>
    <row r="10075" spans="1:38" s="11" customFormat="1" x14ac:dyDescent="0.25">
      <c r="A10075" s="3"/>
      <c r="F10075" s="19"/>
      <c r="G10075" s="19"/>
      <c r="N10075" s="19"/>
      <c r="P10075" s="19"/>
      <c r="AL10075" s="19"/>
    </row>
    <row r="10076" spans="1:38" s="11" customFormat="1" x14ac:dyDescent="0.25">
      <c r="A10076" s="3"/>
      <c r="F10076" s="19"/>
      <c r="G10076" s="19"/>
      <c r="N10076" s="19"/>
      <c r="P10076" s="19"/>
      <c r="AL10076" s="19"/>
    </row>
    <row r="10077" spans="1:38" s="11" customFormat="1" x14ac:dyDescent="0.25">
      <c r="A10077" s="3"/>
      <c r="F10077" s="19"/>
      <c r="G10077" s="19"/>
      <c r="N10077" s="19"/>
      <c r="P10077" s="19"/>
      <c r="AL10077" s="19"/>
    </row>
    <row r="10078" spans="1:38" s="11" customFormat="1" x14ac:dyDescent="0.25">
      <c r="A10078" s="3"/>
      <c r="F10078" s="19"/>
      <c r="G10078" s="19"/>
      <c r="N10078" s="19"/>
      <c r="P10078" s="19"/>
      <c r="AL10078" s="19"/>
    </row>
    <row r="10079" spans="1:38" s="11" customFormat="1" x14ac:dyDescent="0.25">
      <c r="A10079" s="3"/>
      <c r="F10079" s="19"/>
      <c r="G10079" s="19"/>
      <c r="N10079" s="19"/>
      <c r="P10079" s="19"/>
      <c r="AL10079" s="19"/>
    </row>
    <row r="10080" spans="1:38" s="11" customFormat="1" x14ac:dyDescent="0.25">
      <c r="A10080" s="3"/>
      <c r="F10080" s="19"/>
      <c r="G10080" s="19"/>
      <c r="N10080" s="19"/>
      <c r="P10080" s="19"/>
      <c r="AL10080" s="19"/>
    </row>
    <row r="10081" spans="1:38" s="11" customFormat="1" x14ac:dyDescent="0.25">
      <c r="A10081" s="3"/>
      <c r="F10081" s="19"/>
      <c r="G10081" s="19"/>
      <c r="N10081" s="19"/>
      <c r="P10081" s="19"/>
      <c r="AL10081" s="19"/>
    </row>
    <row r="10082" spans="1:38" s="11" customFormat="1" x14ac:dyDescent="0.25">
      <c r="A10082" s="3"/>
      <c r="F10082" s="19"/>
      <c r="G10082" s="19"/>
      <c r="N10082" s="19"/>
      <c r="P10082" s="19"/>
      <c r="AL10082" s="19"/>
    </row>
    <row r="10083" spans="1:38" s="11" customFormat="1" x14ac:dyDescent="0.25">
      <c r="A10083" s="3"/>
      <c r="F10083" s="19"/>
      <c r="G10083" s="19"/>
      <c r="N10083" s="19"/>
      <c r="P10083" s="19"/>
      <c r="AL10083" s="19"/>
    </row>
    <row r="10084" spans="1:38" s="11" customFormat="1" x14ac:dyDescent="0.25">
      <c r="A10084" s="3"/>
      <c r="F10084" s="19"/>
      <c r="G10084" s="19"/>
      <c r="N10084" s="19"/>
      <c r="P10084" s="19"/>
      <c r="AL10084" s="19"/>
    </row>
    <row r="10085" spans="1:38" s="11" customFormat="1" x14ac:dyDescent="0.25">
      <c r="A10085" s="3"/>
      <c r="F10085" s="19"/>
      <c r="G10085" s="19"/>
      <c r="N10085" s="19"/>
      <c r="P10085" s="19"/>
      <c r="AL10085" s="19"/>
    </row>
    <row r="10086" spans="1:38" s="11" customFormat="1" x14ac:dyDescent="0.25">
      <c r="A10086" s="3"/>
      <c r="F10086" s="19"/>
      <c r="G10086" s="19"/>
      <c r="N10086" s="19"/>
      <c r="P10086" s="19"/>
      <c r="AL10086" s="19"/>
    </row>
    <row r="10087" spans="1:38" s="11" customFormat="1" x14ac:dyDescent="0.25">
      <c r="A10087" s="3"/>
      <c r="F10087" s="19"/>
      <c r="G10087" s="19"/>
      <c r="N10087" s="19"/>
      <c r="P10087" s="19"/>
      <c r="AL10087" s="19"/>
    </row>
    <row r="10088" spans="1:38" s="11" customFormat="1" x14ac:dyDescent="0.25">
      <c r="A10088" s="3"/>
      <c r="F10088" s="19"/>
      <c r="G10088" s="19"/>
      <c r="N10088" s="19"/>
      <c r="P10088" s="19"/>
      <c r="AL10088" s="19"/>
    </row>
    <row r="10089" spans="1:38" s="11" customFormat="1" x14ac:dyDescent="0.25">
      <c r="A10089" s="3"/>
      <c r="F10089" s="19"/>
      <c r="G10089" s="19"/>
      <c r="N10089" s="19"/>
      <c r="P10089" s="19"/>
      <c r="AL10089" s="19"/>
    </row>
    <row r="10090" spans="1:38" s="11" customFormat="1" x14ac:dyDescent="0.25">
      <c r="A10090" s="3"/>
      <c r="F10090" s="19"/>
      <c r="G10090" s="19"/>
      <c r="N10090" s="19"/>
      <c r="P10090" s="19"/>
      <c r="AL10090" s="19"/>
    </row>
    <row r="10091" spans="1:38" s="11" customFormat="1" x14ac:dyDescent="0.25">
      <c r="A10091" s="3"/>
      <c r="F10091" s="19"/>
      <c r="G10091" s="19"/>
      <c r="N10091" s="19"/>
      <c r="P10091" s="19"/>
      <c r="AL10091" s="19"/>
    </row>
    <row r="10092" spans="1:38" s="11" customFormat="1" x14ac:dyDescent="0.25">
      <c r="A10092" s="3"/>
      <c r="F10092" s="19"/>
      <c r="G10092" s="19"/>
      <c r="N10092" s="19"/>
      <c r="P10092" s="19"/>
      <c r="AL10092" s="19"/>
    </row>
    <row r="10093" spans="1:38" s="11" customFormat="1" x14ac:dyDescent="0.25">
      <c r="A10093" s="3"/>
      <c r="F10093" s="19"/>
      <c r="G10093" s="19"/>
      <c r="N10093" s="19"/>
      <c r="P10093" s="19"/>
      <c r="AL10093" s="19"/>
    </row>
    <row r="10094" spans="1:38" s="11" customFormat="1" x14ac:dyDescent="0.25">
      <c r="A10094" s="3"/>
      <c r="F10094" s="19"/>
      <c r="G10094" s="19"/>
      <c r="N10094" s="19"/>
      <c r="P10094" s="19"/>
      <c r="AL10094" s="19"/>
    </row>
    <row r="10095" spans="1:38" s="11" customFormat="1" x14ac:dyDescent="0.25">
      <c r="A10095" s="3"/>
      <c r="F10095" s="19"/>
      <c r="G10095" s="19"/>
      <c r="N10095" s="19"/>
      <c r="P10095" s="19"/>
      <c r="AL10095" s="19"/>
    </row>
    <row r="10096" spans="1:38" s="11" customFormat="1" x14ac:dyDescent="0.25">
      <c r="A10096" s="3"/>
      <c r="F10096" s="19"/>
      <c r="G10096" s="19"/>
      <c r="N10096" s="19"/>
      <c r="P10096" s="19"/>
      <c r="AL10096" s="19"/>
    </row>
    <row r="10097" spans="1:38" s="11" customFormat="1" x14ac:dyDescent="0.25">
      <c r="A10097" s="3"/>
      <c r="F10097" s="19"/>
      <c r="G10097" s="19"/>
      <c r="N10097" s="19"/>
      <c r="P10097" s="19"/>
      <c r="AL10097" s="19"/>
    </row>
    <row r="10098" spans="1:38" s="11" customFormat="1" x14ac:dyDescent="0.25">
      <c r="A10098" s="3"/>
      <c r="F10098" s="19"/>
      <c r="G10098" s="19"/>
      <c r="N10098" s="19"/>
      <c r="P10098" s="19"/>
      <c r="AL10098" s="19"/>
    </row>
    <row r="10099" spans="1:38" s="11" customFormat="1" x14ac:dyDescent="0.25">
      <c r="A10099" s="3"/>
      <c r="F10099" s="19"/>
      <c r="G10099" s="19"/>
      <c r="N10099" s="19"/>
      <c r="P10099" s="19"/>
      <c r="AL10099" s="19"/>
    </row>
    <row r="10100" spans="1:38" s="11" customFormat="1" x14ac:dyDescent="0.25">
      <c r="A10100" s="3"/>
      <c r="F10100" s="19"/>
      <c r="G10100" s="19"/>
      <c r="N10100" s="19"/>
      <c r="P10100" s="19"/>
      <c r="AL10100" s="19"/>
    </row>
    <row r="10101" spans="1:38" s="11" customFormat="1" x14ac:dyDescent="0.25">
      <c r="A10101" s="3"/>
      <c r="F10101" s="19"/>
      <c r="G10101" s="19"/>
      <c r="N10101" s="19"/>
      <c r="P10101" s="19"/>
      <c r="AL10101" s="19"/>
    </row>
    <row r="10102" spans="1:38" s="11" customFormat="1" x14ac:dyDescent="0.25">
      <c r="A10102" s="3"/>
      <c r="F10102" s="19"/>
      <c r="G10102" s="19"/>
      <c r="N10102" s="19"/>
      <c r="P10102" s="19"/>
      <c r="AL10102" s="19"/>
    </row>
    <row r="10103" spans="1:38" s="11" customFormat="1" x14ac:dyDescent="0.25">
      <c r="A10103" s="3"/>
      <c r="F10103" s="19"/>
      <c r="G10103" s="19"/>
      <c r="N10103" s="19"/>
      <c r="P10103" s="19"/>
      <c r="AL10103" s="19"/>
    </row>
    <row r="10104" spans="1:38" s="11" customFormat="1" x14ac:dyDescent="0.25">
      <c r="A10104" s="3"/>
      <c r="F10104" s="19"/>
      <c r="G10104" s="19"/>
      <c r="N10104" s="19"/>
      <c r="P10104" s="19"/>
      <c r="AL10104" s="19"/>
    </row>
    <row r="10105" spans="1:38" s="11" customFormat="1" x14ac:dyDescent="0.25">
      <c r="A10105" s="3"/>
      <c r="F10105" s="19"/>
      <c r="G10105" s="19"/>
      <c r="N10105" s="19"/>
      <c r="P10105" s="19"/>
      <c r="AL10105" s="19"/>
    </row>
    <row r="10106" spans="1:38" s="11" customFormat="1" x14ac:dyDescent="0.25">
      <c r="A10106" s="3"/>
      <c r="F10106" s="19"/>
      <c r="G10106" s="19"/>
      <c r="N10106" s="19"/>
      <c r="P10106" s="19"/>
      <c r="AL10106" s="19"/>
    </row>
    <row r="10107" spans="1:38" s="11" customFormat="1" x14ac:dyDescent="0.25">
      <c r="A10107" s="3"/>
      <c r="F10107" s="19"/>
      <c r="G10107" s="19"/>
      <c r="N10107" s="19"/>
      <c r="P10107" s="19"/>
      <c r="AL10107" s="19"/>
    </row>
    <row r="10108" spans="1:38" s="11" customFormat="1" x14ac:dyDescent="0.25">
      <c r="A10108" s="3"/>
      <c r="F10108" s="19"/>
      <c r="G10108" s="19"/>
      <c r="N10108" s="19"/>
      <c r="P10108" s="19"/>
      <c r="AL10108" s="19"/>
    </row>
    <row r="10109" spans="1:38" s="11" customFormat="1" x14ac:dyDescent="0.25">
      <c r="A10109" s="3"/>
      <c r="F10109" s="19"/>
      <c r="G10109" s="19"/>
      <c r="N10109" s="19"/>
      <c r="P10109" s="19"/>
      <c r="AL10109" s="19"/>
    </row>
    <row r="10110" spans="1:38" s="11" customFormat="1" x14ac:dyDescent="0.25">
      <c r="A10110" s="3"/>
      <c r="F10110" s="19"/>
      <c r="G10110" s="19"/>
      <c r="N10110" s="19"/>
      <c r="P10110" s="19"/>
      <c r="AL10110" s="19"/>
    </row>
    <row r="10111" spans="1:38" s="11" customFormat="1" x14ac:dyDescent="0.25">
      <c r="A10111" s="3"/>
      <c r="F10111" s="19"/>
      <c r="G10111" s="19"/>
      <c r="N10111" s="19"/>
      <c r="P10111" s="19"/>
      <c r="AL10111" s="19"/>
    </row>
    <row r="10112" spans="1:38" s="11" customFormat="1" x14ac:dyDescent="0.25">
      <c r="A10112" s="3"/>
      <c r="F10112" s="19"/>
      <c r="G10112" s="19"/>
      <c r="N10112" s="19"/>
      <c r="P10112" s="19"/>
      <c r="AL10112" s="19"/>
    </row>
    <row r="10113" spans="1:38" s="11" customFormat="1" x14ac:dyDescent="0.25">
      <c r="A10113" s="3"/>
      <c r="F10113" s="19"/>
      <c r="G10113" s="19"/>
      <c r="N10113" s="19"/>
      <c r="P10113" s="19"/>
      <c r="AL10113" s="19"/>
    </row>
    <row r="10114" spans="1:38" s="11" customFormat="1" x14ac:dyDescent="0.25">
      <c r="A10114" s="3"/>
      <c r="F10114" s="19"/>
      <c r="G10114" s="19"/>
      <c r="N10114" s="19"/>
      <c r="P10114" s="19"/>
      <c r="AL10114" s="19"/>
    </row>
    <row r="10115" spans="1:38" s="11" customFormat="1" x14ac:dyDescent="0.25">
      <c r="A10115" s="3"/>
      <c r="F10115" s="19"/>
      <c r="G10115" s="19"/>
      <c r="N10115" s="19"/>
      <c r="P10115" s="19"/>
      <c r="AL10115" s="19"/>
    </row>
    <row r="10116" spans="1:38" s="11" customFormat="1" x14ac:dyDescent="0.25">
      <c r="A10116" s="3"/>
      <c r="F10116" s="19"/>
      <c r="G10116" s="19"/>
      <c r="N10116" s="19"/>
      <c r="P10116" s="19"/>
      <c r="AL10116" s="19"/>
    </row>
    <row r="10117" spans="1:38" s="11" customFormat="1" x14ac:dyDescent="0.25">
      <c r="A10117" s="3"/>
      <c r="F10117" s="19"/>
      <c r="G10117" s="19"/>
      <c r="N10117" s="19"/>
      <c r="P10117" s="19"/>
      <c r="AL10117" s="19"/>
    </row>
    <row r="10118" spans="1:38" s="11" customFormat="1" x14ac:dyDescent="0.25">
      <c r="A10118" s="3"/>
      <c r="F10118" s="19"/>
      <c r="G10118" s="19"/>
      <c r="N10118" s="19"/>
      <c r="P10118" s="19"/>
      <c r="AL10118" s="19"/>
    </row>
    <row r="10119" spans="1:38" s="11" customFormat="1" x14ac:dyDescent="0.25">
      <c r="A10119" s="3"/>
      <c r="F10119" s="19"/>
      <c r="G10119" s="19"/>
      <c r="N10119" s="19"/>
      <c r="P10119" s="19"/>
      <c r="AL10119" s="19"/>
    </row>
    <row r="10120" spans="1:38" s="11" customFormat="1" x14ac:dyDescent="0.25">
      <c r="A10120" s="3"/>
      <c r="F10120" s="19"/>
      <c r="G10120" s="19"/>
      <c r="N10120" s="19"/>
      <c r="P10120" s="19"/>
      <c r="AL10120" s="19"/>
    </row>
    <row r="10121" spans="1:38" s="11" customFormat="1" x14ac:dyDescent="0.25">
      <c r="A10121" s="3"/>
      <c r="F10121" s="19"/>
      <c r="G10121" s="19"/>
      <c r="N10121" s="19"/>
      <c r="P10121" s="19"/>
      <c r="AL10121" s="19"/>
    </row>
    <row r="10122" spans="1:38" s="11" customFormat="1" x14ac:dyDescent="0.25">
      <c r="A10122" s="3"/>
      <c r="F10122" s="19"/>
      <c r="G10122" s="19"/>
      <c r="N10122" s="19"/>
      <c r="P10122" s="19"/>
      <c r="AL10122" s="19"/>
    </row>
    <row r="10123" spans="1:38" s="11" customFormat="1" x14ac:dyDescent="0.25">
      <c r="A10123" s="3"/>
      <c r="F10123" s="19"/>
      <c r="G10123" s="19"/>
      <c r="N10123" s="19"/>
      <c r="P10123" s="19"/>
      <c r="AL10123" s="19"/>
    </row>
    <row r="10124" spans="1:38" s="11" customFormat="1" x14ac:dyDescent="0.25">
      <c r="A10124" s="3"/>
      <c r="F10124" s="19"/>
      <c r="G10124" s="19"/>
      <c r="N10124" s="19"/>
      <c r="P10124" s="19"/>
      <c r="AL10124" s="19"/>
    </row>
    <row r="10125" spans="1:38" s="11" customFormat="1" x14ac:dyDescent="0.25">
      <c r="A10125" s="3"/>
      <c r="F10125" s="19"/>
      <c r="G10125" s="19"/>
      <c r="N10125" s="19"/>
      <c r="P10125" s="19"/>
      <c r="AL10125" s="19"/>
    </row>
    <row r="10126" spans="1:38" s="11" customFormat="1" x14ac:dyDescent="0.25">
      <c r="A10126" s="3"/>
      <c r="F10126" s="19"/>
      <c r="G10126" s="19"/>
      <c r="N10126" s="19"/>
      <c r="P10126" s="19"/>
      <c r="AL10126" s="19"/>
    </row>
    <row r="10127" spans="1:38" s="11" customFormat="1" x14ac:dyDescent="0.25">
      <c r="A10127" s="3"/>
      <c r="F10127" s="19"/>
      <c r="G10127" s="19"/>
      <c r="N10127" s="19"/>
      <c r="P10127" s="19"/>
      <c r="AL10127" s="19"/>
    </row>
    <row r="10128" spans="1:38" s="11" customFormat="1" x14ac:dyDescent="0.25">
      <c r="A10128" s="3"/>
      <c r="F10128" s="19"/>
      <c r="G10128" s="19"/>
      <c r="N10128" s="19"/>
      <c r="P10128" s="19"/>
      <c r="AL10128" s="19"/>
    </row>
    <row r="10129" spans="1:38" s="11" customFormat="1" x14ac:dyDescent="0.25">
      <c r="A10129" s="3"/>
      <c r="F10129" s="19"/>
      <c r="G10129" s="19"/>
      <c r="N10129" s="19"/>
      <c r="P10129" s="19"/>
      <c r="AL10129" s="19"/>
    </row>
    <row r="10130" spans="1:38" s="11" customFormat="1" x14ac:dyDescent="0.25">
      <c r="A10130" s="3"/>
      <c r="F10130" s="19"/>
      <c r="G10130" s="19"/>
      <c r="N10130" s="19"/>
      <c r="P10130" s="19"/>
      <c r="AL10130" s="19"/>
    </row>
    <row r="10131" spans="1:38" s="11" customFormat="1" x14ac:dyDescent="0.25">
      <c r="A10131" s="3"/>
      <c r="F10131" s="19"/>
      <c r="G10131" s="19"/>
      <c r="N10131" s="19"/>
      <c r="P10131" s="19"/>
      <c r="AL10131" s="19"/>
    </row>
    <row r="10132" spans="1:38" s="11" customFormat="1" x14ac:dyDescent="0.25">
      <c r="A10132" s="3"/>
      <c r="F10132" s="19"/>
      <c r="G10132" s="19"/>
      <c r="N10132" s="19"/>
      <c r="P10132" s="19"/>
      <c r="AL10132" s="19"/>
    </row>
    <row r="10133" spans="1:38" s="11" customFormat="1" x14ac:dyDescent="0.25">
      <c r="A10133" s="3"/>
      <c r="F10133" s="19"/>
      <c r="G10133" s="19"/>
      <c r="N10133" s="19"/>
      <c r="P10133" s="19"/>
      <c r="AL10133" s="19"/>
    </row>
    <row r="10134" spans="1:38" s="11" customFormat="1" x14ac:dyDescent="0.25">
      <c r="A10134" s="3"/>
      <c r="F10134" s="19"/>
      <c r="G10134" s="19"/>
      <c r="N10134" s="19"/>
      <c r="P10134" s="19"/>
      <c r="AL10134" s="19"/>
    </row>
    <row r="10135" spans="1:38" s="11" customFormat="1" x14ac:dyDescent="0.25">
      <c r="A10135" s="3"/>
      <c r="F10135" s="19"/>
      <c r="G10135" s="19"/>
      <c r="N10135" s="19"/>
      <c r="P10135" s="19"/>
      <c r="AL10135" s="19"/>
    </row>
    <row r="10136" spans="1:38" s="11" customFormat="1" x14ac:dyDescent="0.25">
      <c r="A10136" s="3"/>
      <c r="F10136" s="19"/>
      <c r="G10136" s="19"/>
      <c r="N10136" s="19"/>
      <c r="P10136" s="19"/>
      <c r="AL10136" s="19"/>
    </row>
    <row r="10137" spans="1:38" s="11" customFormat="1" x14ac:dyDescent="0.25">
      <c r="A10137" s="3"/>
      <c r="F10137" s="19"/>
      <c r="G10137" s="19"/>
      <c r="N10137" s="19"/>
      <c r="P10137" s="19"/>
      <c r="AL10137" s="19"/>
    </row>
    <row r="10138" spans="1:38" s="11" customFormat="1" x14ac:dyDescent="0.25">
      <c r="A10138" s="3"/>
      <c r="F10138" s="19"/>
      <c r="G10138" s="19"/>
      <c r="N10138" s="19"/>
      <c r="P10138" s="19"/>
      <c r="AL10138" s="19"/>
    </row>
    <row r="10139" spans="1:38" s="11" customFormat="1" x14ac:dyDescent="0.25">
      <c r="A10139" s="3"/>
      <c r="F10139" s="19"/>
      <c r="G10139" s="19"/>
      <c r="N10139" s="19"/>
      <c r="P10139" s="19"/>
      <c r="AL10139" s="19"/>
    </row>
    <row r="10140" spans="1:38" s="11" customFormat="1" x14ac:dyDescent="0.25">
      <c r="A10140" s="3"/>
      <c r="F10140" s="19"/>
      <c r="G10140" s="19"/>
      <c r="N10140" s="19"/>
      <c r="P10140" s="19"/>
      <c r="AL10140" s="19"/>
    </row>
    <row r="10141" spans="1:38" s="11" customFormat="1" x14ac:dyDescent="0.25">
      <c r="A10141" s="3"/>
      <c r="F10141" s="19"/>
      <c r="G10141" s="19"/>
      <c r="N10141" s="19"/>
      <c r="P10141" s="19"/>
      <c r="AL10141" s="19"/>
    </row>
    <row r="10142" spans="1:38" s="11" customFormat="1" x14ac:dyDescent="0.25">
      <c r="A10142" s="3"/>
      <c r="F10142" s="19"/>
      <c r="G10142" s="19"/>
      <c r="N10142" s="19"/>
      <c r="P10142" s="19"/>
      <c r="AL10142" s="19"/>
    </row>
    <row r="10143" spans="1:38" s="11" customFormat="1" x14ac:dyDescent="0.25">
      <c r="A10143" s="3"/>
      <c r="F10143" s="19"/>
      <c r="G10143" s="19"/>
      <c r="N10143" s="19"/>
      <c r="P10143" s="19"/>
      <c r="AL10143" s="19"/>
    </row>
    <row r="10144" spans="1:38" s="11" customFormat="1" x14ac:dyDescent="0.25">
      <c r="A10144" s="3"/>
      <c r="F10144" s="19"/>
      <c r="G10144" s="19"/>
      <c r="N10144" s="19"/>
      <c r="P10144" s="19"/>
      <c r="AL10144" s="19"/>
    </row>
    <row r="10145" spans="1:38" s="11" customFormat="1" x14ac:dyDescent="0.25">
      <c r="A10145" s="3"/>
      <c r="F10145" s="19"/>
      <c r="G10145" s="19"/>
      <c r="N10145" s="19"/>
      <c r="P10145" s="19"/>
      <c r="AL10145" s="19"/>
    </row>
    <row r="10146" spans="1:38" s="11" customFormat="1" x14ac:dyDescent="0.25">
      <c r="A10146" s="3"/>
      <c r="F10146" s="19"/>
      <c r="G10146" s="19"/>
      <c r="N10146" s="19"/>
      <c r="P10146" s="19"/>
      <c r="AL10146" s="19"/>
    </row>
    <row r="10147" spans="1:38" s="11" customFormat="1" x14ac:dyDescent="0.25">
      <c r="A10147" s="3"/>
      <c r="F10147" s="19"/>
      <c r="G10147" s="19"/>
      <c r="N10147" s="19"/>
      <c r="P10147" s="19"/>
      <c r="AL10147" s="19"/>
    </row>
    <row r="10148" spans="1:38" s="11" customFormat="1" x14ac:dyDescent="0.25">
      <c r="A10148" s="3"/>
      <c r="F10148" s="19"/>
      <c r="G10148" s="19"/>
      <c r="N10148" s="19"/>
      <c r="P10148" s="19"/>
      <c r="AL10148" s="19"/>
    </row>
    <row r="10149" spans="1:38" s="11" customFormat="1" x14ac:dyDescent="0.25">
      <c r="A10149" s="3"/>
      <c r="F10149" s="19"/>
      <c r="G10149" s="19"/>
      <c r="N10149" s="19"/>
      <c r="P10149" s="19"/>
      <c r="AL10149" s="19"/>
    </row>
    <row r="10150" spans="1:38" s="11" customFormat="1" x14ac:dyDescent="0.25">
      <c r="A10150" s="3"/>
      <c r="F10150" s="19"/>
      <c r="G10150" s="19"/>
      <c r="N10150" s="19"/>
      <c r="P10150" s="19"/>
      <c r="AL10150" s="19"/>
    </row>
    <row r="10151" spans="1:38" s="11" customFormat="1" x14ac:dyDescent="0.25">
      <c r="A10151" s="3"/>
      <c r="F10151" s="19"/>
      <c r="G10151" s="19"/>
      <c r="N10151" s="19"/>
      <c r="P10151" s="19"/>
      <c r="AL10151" s="19"/>
    </row>
    <row r="10152" spans="1:38" s="11" customFormat="1" x14ac:dyDescent="0.25">
      <c r="A10152" s="3"/>
      <c r="F10152" s="19"/>
      <c r="G10152" s="19"/>
      <c r="N10152" s="19"/>
      <c r="P10152" s="19"/>
      <c r="AL10152" s="19"/>
    </row>
    <row r="10153" spans="1:38" s="11" customFormat="1" x14ac:dyDescent="0.25">
      <c r="A10153" s="3"/>
      <c r="F10153" s="19"/>
      <c r="G10153" s="19"/>
      <c r="N10153" s="19"/>
      <c r="P10153" s="19"/>
      <c r="AL10153" s="19"/>
    </row>
    <row r="10154" spans="1:38" s="11" customFormat="1" x14ac:dyDescent="0.25">
      <c r="A10154" s="3"/>
      <c r="F10154" s="19"/>
      <c r="G10154" s="19"/>
      <c r="N10154" s="19"/>
      <c r="P10154" s="19"/>
      <c r="AL10154" s="19"/>
    </row>
    <row r="10155" spans="1:38" s="11" customFormat="1" x14ac:dyDescent="0.25">
      <c r="A10155" s="3"/>
      <c r="F10155" s="19"/>
      <c r="G10155" s="19"/>
      <c r="N10155" s="19"/>
      <c r="P10155" s="19"/>
      <c r="AL10155" s="19"/>
    </row>
    <row r="10156" spans="1:38" s="11" customFormat="1" x14ac:dyDescent="0.25">
      <c r="A10156" s="3"/>
      <c r="F10156" s="19"/>
      <c r="G10156" s="19"/>
      <c r="N10156" s="19"/>
      <c r="P10156" s="19"/>
      <c r="AL10156" s="19"/>
    </row>
    <row r="10157" spans="1:38" s="11" customFormat="1" x14ac:dyDescent="0.25">
      <c r="A10157" s="3"/>
      <c r="F10157" s="19"/>
      <c r="G10157" s="19"/>
      <c r="N10157" s="19"/>
      <c r="P10157" s="19"/>
      <c r="AL10157" s="19"/>
    </row>
    <row r="10158" spans="1:38" s="11" customFormat="1" x14ac:dyDescent="0.25">
      <c r="A10158" s="3"/>
      <c r="F10158" s="19"/>
      <c r="G10158" s="19"/>
      <c r="N10158" s="19"/>
      <c r="P10158" s="19"/>
      <c r="AL10158" s="19"/>
    </row>
    <row r="10159" spans="1:38" s="11" customFormat="1" x14ac:dyDescent="0.25">
      <c r="A10159" s="3"/>
      <c r="F10159" s="19"/>
      <c r="G10159" s="19"/>
      <c r="N10159" s="19"/>
      <c r="P10159" s="19"/>
      <c r="AL10159" s="19"/>
    </row>
    <row r="10160" spans="1:38" s="11" customFormat="1" x14ac:dyDescent="0.25">
      <c r="A10160" s="3"/>
      <c r="F10160" s="19"/>
      <c r="G10160" s="19"/>
      <c r="N10160" s="19"/>
      <c r="P10160" s="19"/>
      <c r="AL10160" s="19"/>
    </row>
    <row r="10161" spans="1:38" s="11" customFormat="1" x14ac:dyDescent="0.25">
      <c r="A10161" s="3"/>
      <c r="F10161" s="19"/>
      <c r="G10161" s="19"/>
      <c r="N10161" s="19"/>
      <c r="P10161" s="19"/>
      <c r="AL10161" s="19"/>
    </row>
    <row r="10162" spans="1:38" s="11" customFormat="1" x14ac:dyDescent="0.25">
      <c r="A10162" s="3"/>
      <c r="F10162" s="19"/>
      <c r="G10162" s="19"/>
      <c r="N10162" s="19"/>
      <c r="P10162" s="19"/>
      <c r="AL10162" s="19"/>
    </row>
    <row r="10163" spans="1:38" s="11" customFormat="1" x14ac:dyDescent="0.25">
      <c r="A10163" s="3"/>
      <c r="F10163" s="19"/>
      <c r="G10163" s="19"/>
      <c r="N10163" s="19"/>
      <c r="P10163" s="19"/>
      <c r="AL10163" s="19"/>
    </row>
    <row r="10164" spans="1:38" s="11" customFormat="1" x14ac:dyDescent="0.25">
      <c r="A10164" s="3"/>
      <c r="F10164" s="19"/>
      <c r="G10164" s="19"/>
      <c r="N10164" s="19"/>
      <c r="P10164" s="19"/>
      <c r="AL10164" s="19"/>
    </row>
    <row r="10165" spans="1:38" s="11" customFormat="1" x14ac:dyDescent="0.25">
      <c r="A10165" s="3"/>
      <c r="F10165" s="19"/>
      <c r="G10165" s="19"/>
      <c r="N10165" s="19"/>
      <c r="P10165" s="19"/>
      <c r="AL10165" s="19"/>
    </row>
    <row r="10166" spans="1:38" s="11" customFormat="1" x14ac:dyDescent="0.25">
      <c r="A10166" s="3"/>
      <c r="F10166" s="19"/>
      <c r="G10166" s="19"/>
      <c r="N10166" s="19"/>
      <c r="P10166" s="19"/>
      <c r="AL10166" s="19"/>
    </row>
    <row r="10167" spans="1:38" s="11" customFormat="1" x14ac:dyDescent="0.25">
      <c r="A10167" s="3"/>
      <c r="F10167" s="19"/>
      <c r="G10167" s="19"/>
      <c r="N10167" s="19"/>
      <c r="P10167" s="19"/>
      <c r="AL10167" s="19"/>
    </row>
    <row r="10168" spans="1:38" s="11" customFormat="1" x14ac:dyDescent="0.25">
      <c r="A10168" s="3"/>
      <c r="F10168" s="19"/>
      <c r="G10168" s="19"/>
      <c r="N10168" s="19"/>
      <c r="P10168" s="19"/>
      <c r="AL10168" s="19"/>
    </row>
    <row r="10169" spans="1:38" s="11" customFormat="1" x14ac:dyDescent="0.25">
      <c r="A10169" s="3"/>
      <c r="F10169" s="19"/>
      <c r="G10169" s="19"/>
      <c r="N10169" s="19"/>
      <c r="P10169" s="19"/>
      <c r="AL10169" s="19"/>
    </row>
    <row r="10170" spans="1:38" s="11" customFormat="1" x14ac:dyDescent="0.25">
      <c r="A10170" s="3"/>
      <c r="F10170" s="19"/>
      <c r="G10170" s="19"/>
      <c r="N10170" s="19"/>
      <c r="P10170" s="19"/>
      <c r="AL10170" s="19"/>
    </row>
    <row r="10171" spans="1:38" s="11" customFormat="1" x14ac:dyDescent="0.25">
      <c r="A10171" s="3"/>
      <c r="F10171" s="19"/>
      <c r="G10171" s="19"/>
      <c r="N10171" s="19"/>
      <c r="P10171" s="19"/>
      <c r="AL10171" s="19"/>
    </row>
    <row r="10172" spans="1:38" s="11" customFormat="1" x14ac:dyDescent="0.25">
      <c r="A10172" s="3"/>
      <c r="F10172" s="19"/>
      <c r="G10172" s="19"/>
      <c r="N10172" s="19"/>
      <c r="P10172" s="19"/>
      <c r="AL10172" s="19"/>
    </row>
    <row r="10173" spans="1:38" s="11" customFormat="1" x14ac:dyDescent="0.25">
      <c r="A10173" s="3"/>
      <c r="F10173" s="19"/>
      <c r="G10173" s="19"/>
      <c r="N10173" s="19"/>
      <c r="P10173" s="19"/>
      <c r="AL10173" s="19"/>
    </row>
    <row r="10174" spans="1:38" s="11" customFormat="1" x14ac:dyDescent="0.25">
      <c r="A10174" s="3"/>
      <c r="F10174" s="19"/>
      <c r="G10174" s="19"/>
      <c r="N10174" s="19"/>
      <c r="P10174" s="19"/>
      <c r="AL10174" s="19"/>
    </row>
    <row r="10175" spans="1:38" s="11" customFormat="1" x14ac:dyDescent="0.25">
      <c r="A10175" s="3"/>
      <c r="F10175" s="19"/>
      <c r="G10175" s="19"/>
      <c r="N10175" s="19"/>
      <c r="P10175" s="19"/>
      <c r="AL10175" s="19"/>
    </row>
    <row r="10176" spans="1:38" s="11" customFormat="1" x14ac:dyDescent="0.25">
      <c r="A10176" s="3"/>
      <c r="F10176" s="19"/>
      <c r="G10176" s="19"/>
      <c r="N10176" s="19"/>
      <c r="P10176" s="19"/>
      <c r="AL10176" s="19"/>
    </row>
    <row r="10177" spans="1:38" s="11" customFormat="1" x14ac:dyDescent="0.25">
      <c r="A10177" s="3"/>
      <c r="F10177" s="19"/>
      <c r="G10177" s="19"/>
      <c r="N10177" s="19"/>
      <c r="P10177" s="19"/>
      <c r="AL10177" s="19"/>
    </row>
    <row r="10178" spans="1:38" s="11" customFormat="1" x14ac:dyDescent="0.25">
      <c r="A10178" s="3"/>
      <c r="F10178" s="19"/>
      <c r="G10178" s="19"/>
      <c r="N10178" s="19"/>
      <c r="P10178" s="19"/>
      <c r="AL10178" s="19"/>
    </row>
    <row r="10179" spans="1:38" s="11" customFormat="1" x14ac:dyDescent="0.25">
      <c r="A10179" s="3"/>
      <c r="F10179" s="19"/>
      <c r="G10179" s="19"/>
      <c r="N10179" s="19"/>
      <c r="P10179" s="19"/>
      <c r="AL10179" s="19"/>
    </row>
    <row r="10180" spans="1:38" s="11" customFormat="1" x14ac:dyDescent="0.25">
      <c r="A10180" s="3"/>
      <c r="F10180" s="19"/>
      <c r="G10180" s="19"/>
      <c r="N10180" s="19"/>
      <c r="P10180" s="19"/>
      <c r="AL10180" s="19"/>
    </row>
    <row r="10181" spans="1:38" s="11" customFormat="1" x14ac:dyDescent="0.25">
      <c r="A10181" s="3"/>
      <c r="F10181" s="19"/>
      <c r="G10181" s="19"/>
      <c r="N10181" s="19"/>
      <c r="P10181" s="19"/>
      <c r="AL10181" s="19"/>
    </row>
    <row r="10182" spans="1:38" s="11" customFormat="1" x14ac:dyDescent="0.25">
      <c r="A10182" s="3"/>
      <c r="F10182" s="19"/>
      <c r="G10182" s="19"/>
      <c r="N10182" s="19"/>
      <c r="P10182" s="19"/>
      <c r="AL10182" s="19"/>
    </row>
    <row r="10183" spans="1:38" s="11" customFormat="1" x14ac:dyDescent="0.25">
      <c r="A10183" s="3"/>
      <c r="F10183" s="19"/>
      <c r="G10183" s="19"/>
      <c r="N10183" s="19"/>
      <c r="P10183" s="19"/>
      <c r="AL10183" s="19"/>
    </row>
    <row r="10184" spans="1:38" s="11" customFormat="1" x14ac:dyDescent="0.25">
      <c r="A10184" s="3"/>
      <c r="F10184" s="19"/>
      <c r="G10184" s="19"/>
      <c r="N10184" s="19"/>
      <c r="P10184" s="19"/>
      <c r="AL10184" s="19"/>
    </row>
    <row r="10185" spans="1:38" s="11" customFormat="1" x14ac:dyDescent="0.25">
      <c r="A10185" s="3"/>
      <c r="F10185" s="19"/>
      <c r="G10185" s="19"/>
      <c r="N10185" s="19"/>
      <c r="P10185" s="19"/>
      <c r="AL10185" s="19"/>
    </row>
    <row r="10186" spans="1:38" s="11" customFormat="1" x14ac:dyDescent="0.25">
      <c r="A10186" s="3"/>
      <c r="F10186" s="19"/>
      <c r="G10186" s="19"/>
      <c r="N10186" s="19"/>
      <c r="P10186" s="19"/>
      <c r="AL10186" s="19"/>
    </row>
    <row r="10187" spans="1:38" s="11" customFormat="1" x14ac:dyDescent="0.25">
      <c r="A10187" s="3"/>
      <c r="F10187" s="19"/>
      <c r="G10187" s="19"/>
      <c r="N10187" s="19"/>
      <c r="P10187" s="19"/>
      <c r="AL10187" s="19"/>
    </row>
    <row r="10188" spans="1:38" s="11" customFormat="1" x14ac:dyDescent="0.25">
      <c r="A10188" s="3"/>
      <c r="F10188" s="19"/>
      <c r="G10188" s="19"/>
      <c r="N10188" s="19"/>
      <c r="P10188" s="19"/>
      <c r="AL10188" s="19"/>
    </row>
    <row r="10189" spans="1:38" s="11" customFormat="1" x14ac:dyDescent="0.25">
      <c r="A10189" s="3"/>
      <c r="F10189" s="19"/>
      <c r="G10189" s="19"/>
      <c r="N10189" s="19"/>
      <c r="P10189" s="19"/>
      <c r="AL10189" s="19"/>
    </row>
    <row r="10190" spans="1:38" s="11" customFormat="1" x14ac:dyDescent="0.25">
      <c r="A10190" s="3"/>
      <c r="F10190" s="19"/>
      <c r="G10190" s="19"/>
      <c r="N10190" s="19"/>
      <c r="P10190" s="19"/>
      <c r="AL10190" s="19"/>
    </row>
    <row r="10191" spans="1:38" s="11" customFormat="1" x14ac:dyDescent="0.25">
      <c r="A10191" s="3"/>
      <c r="F10191" s="19"/>
      <c r="G10191" s="19"/>
      <c r="N10191" s="19"/>
      <c r="P10191" s="19"/>
      <c r="AL10191" s="19"/>
    </row>
    <row r="10192" spans="1:38" s="11" customFormat="1" x14ac:dyDescent="0.25">
      <c r="A10192" s="3"/>
      <c r="F10192" s="19"/>
      <c r="G10192" s="19"/>
      <c r="N10192" s="19"/>
      <c r="P10192" s="19"/>
      <c r="AL10192" s="19"/>
    </row>
    <row r="10193" spans="1:38" s="11" customFormat="1" x14ac:dyDescent="0.25">
      <c r="A10193" s="3"/>
      <c r="F10193" s="19"/>
      <c r="G10193" s="19"/>
      <c r="N10193" s="19"/>
      <c r="P10193" s="19"/>
      <c r="AL10193" s="19"/>
    </row>
    <row r="10194" spans="1:38" s="11" customFormat="1" x14ac:dyDescent="0.25">
      <c r="A10194" s="3"/>
      <c r="F10194" s="19"/>
      <c r="G10194" s="19"/>
      <c r="N10194" s="19"/>
      <c r="P10194" s="19"/>
      <c r="AL10194" s="19"/>
    </row>
    <row r="10195" spans="1:38" s="11" customFormat="1" x14ac:dyDescent="0.25">
      <c r="A10195" s="3"/>
      <c r="F10195" s="19"/>
      <c r="G10195" s="19"/>
      <c r="N10195" s="19"/>
      <c r="P10195" s="19"/>
      <c r="AL10195" s="19"/>
    </row>
    <row r="10196" spans="1:38" s="11" customFormat="1" x14ac:dyDescent="0.25">
      <c r="A10196" s="3"/>
      <c r="F10196" s="19"/>
      <c r="G10196" s="19"/>
      <c r="N10196" s="19"/>
      <c r="P10196" s="19"/>
      <c r="AL10196" s="19"/>
    </row>
    <row r="10197" spans="1:38" s="11" customFormat="1" x14ac:dyDescent="0.25">
      <c r="A10197" s="3"/>
      <c r="F10197" s="19"/>
      <c r="G10197" s="19"/>
      <c r="N10197" s="19"/>
      <c r="P10197" s="19"/>
      <c r="AL10197" s="19"/>
    </row>
    <row r="10198" spans="1:38" s="11" customFormat="1" x14ac:dyDescent="0.25">
      <c r="A10198" s="3"/>
      <c r="F10198" s="19"/>
      <c r="G10198" s="19"/>
      <c r="N10198" s="19"/>
      <c r="P10198" s="19"/>
      <c r="AL10198" s="19"/>
    </row>
    <row r="10199" spans="1:38" s="11" customFormat="1" x14ac:dyDescent="0.25">
      <c r="A10199" s="3"/>
      <c r="F10199" s="19"/>
      <c r="G10199" s="19"/>
      <c r="N10199" s="19"/>
      <c r="P10199" s="19"/>
      <c r="AL10199" s="19"/>
    </row>
    <row r="10200" spans="1:38" s="11" customFormat="1" x14ac:dyDescent="0.25">
      <c r="A10200" s="3"/>
      <c r="F10200" s="19"/>
      <c r="G10200" s="19"/>
      <c r="N10200" s="19"/>
      <c r="P10200" s="19"/>
      <c r="AL10200" s="19"/>
    </row>
    <row r="10201" spans="1:38" s="11" customFormat="1" x14ac:dyDescent="0.25">
      <c r="A10201" s="3"/>
      <c r="F10201" s="19"/>
      <c r="G10201" s="19"/>
      <c r="N10201" s="19"/>
      <c r="P10201" s="19"/>
      <c r="AL10201" s="19"/>
    </row>
    <row r="10202" spans="1:38" s="11" customFormat="1" x14ac:dyDescent="0.25">
      <c r="A10202" s="3"/>
      <c r="F10202" s="19"/>
      <c r="G10202" s="19"/>
      <c r="N10202" s="19"/>
      <c r="P10202" s="19"/>
      <c r="AL10202" s="19"/>
    </row>
    <row r="10203" spans="1:38" s="11" customFormat="1" x14ac:dyDescent="0.25">
      <c r="A10203" s="3"/>
      <c r="F10203" s="19"/>
      <c r="G10203" s="19"/>
      <c r="N10203" s="19"/>
      <c r="P10203" s="19"/>
      <c r="AL10203" s="19"/>
    </row>
    <row r="10204" spans="1:38" s="11" customFormat="1" x14ac:dyDescent="0.25">
      <c r="A10204" s="3"/>
      <c r="F10204" s="19"/>
      <c r="G10204" s="19"/>
      <c r="N10204" s="19"/>
      <c r="P10204" s="19"/>
      <c r="AL10204" s="19"/>
    </row>
    <row r="10205" spans="1:38" s="11" customFormat="1" x14ac:dyDescent="0.25">
      <c r="A10205" s="3"/>
      <c r="F10205" s="19"/>
      <c r="G10205" s="19"/>
      <c r="N10205" s="19"/>
      <c r="P10205" s="19"/>
      <c r="AL10205" s="19"/>
    </row>
    <row r="10206" spans="1:38" s="11" customFormat="1" x14ac:dyDescent="0.25">
      <c r="A10206" s="3"/>
      <c r="F10206" s="19"/>
      <c r="G10206" s="19"/>
      <c r="N10206" s="19"/>
      <c r="P10206" s="19"/>
      <c r="AL10206" s="19"/>
    </row>
    <row r="10207" spans="1:38" s="11" customFormat="1" x14ac:dyDescent="0.25">
      <c r="A10207" s="3"/>
      <c r="F10207" s="19"/>
      <c r="G10207" s="19"/>
      <c r="N10207" s="19"/>
      <c r="P10207" s="19"/>
      <c r="AL10207" s="19"/>
    </row>
    <row r="10208" spans="1:38" s="11" customFormat="1" x14ac:dyDescent="0.25">
      <c r="A10208" s="3"/>
      <c r="F10208" s="19"/>
      <c r="G10208" s="19"/>
      <c r="N10208" s="19"/>
      <c r="P10208" s="19"/>
      <c r="AL10208" s="19"/>
    </row>
    <row r="10209" spans="1:38" s="11" customFormat="1" x14ac:dyDescent="0.25">
      <c r="A10209" s="3"/>
      <c r="F10209" s="19"/>
      <c r="G10209" s="19"/>
      <c r="N10209" s="19"/>
      <c r="P10209" s="19"/>
      <c r="AL10209" s="19"/>
    </row>
    <row r="10210" spans="1:38" s="11" customFormat="1" x14ac:dyDescent="0.25">
      <c r="A10210" s="3"/>
      <c r="F10210" s="19"/>
      <c r="G10210" s="19"/>
      <c r="N10210" s="19"/>
      <c r="P10210" s="19"/>
      <c r="AL10210" s="19"/>
    </row>
    <row r="10211" spans="1:38" s="11" customFormat="1" x14ac:dyDescent="0.25">
      <c r="A10211" s="3"/>
      <c r="F10211" s="19"/>
      <c r="G10211" s="19"/>
      <c r="N10211" s="19"/>
      <c r="P10211" s="19"/>
      <c r="AL10211" s="19"/>
    </row>
    <row r="10212" spans="1:38" s="11" customFormat="1" x14ac:dyDescent="0.25">
      <c r="A10212" s="3"/>
      <c r="F10212" s="19"/>
      <c r="G10212" s="19"/>
      <c r="N10212" s="19"/>
      <c r="P10212" s="19"/>
      <c r="AL10212" s="19"/>
    </row>
    <row r="10213" spans="1:38" s="11" customFormat="1" x14ac:dyDescent="0.25">
      <c r="A10213" s="3"/>
      <c r="F10213" s="19"/>
      <c r="G10213" s="19"/>
      <c r="N10213" s="19"/>
      <c r="P10213" s="19"/>
      <c r="AL10213" s="19"/>
    </row>
    <row r="10214" spans="1:38" s="11" customFormat="1" x14ac:dyDescent="0.25">
      <c r="A10214" s="3"/>
      <c r="F10214" s="19"/>
      <c r="G10214" s="19"/>
      <c r="N10214" s="19"/>
      <c r="P10214" s="19"/>
      <c r="AL10214" s="19"/>
    </row>
    <row r="10215" spans="1:38" s="11" customFormat="1" x14ac:dyDescent="0.25">
      <c r="A10215" s="3"/>
      <c r="F10215" s="19"/>
      <c r="G10215" s="19"/>
      <c r="N10215" s="19"/>
      <c r="P10215" s="19"/>
      <c r="AL10215" s="19"/>
    </row>
    <row r="10216" spans="1:38" s="11" customFormat="1" x14ac:dyDescent="0.25">
      <c r="A10216" s="3"/>
      <c r="F10216" s="19"/>
      <c r="G10216" s="19"/>
      <c r="N10216" s="19"/>
      <c r="P10216" s="19"/>
      <c r="AL10216" s="19"/>
    </row>
    <row r="10217" spans="1:38" s="11" customFormat="1" x14ac:dyDescent="0.25">
      <c r="A10217" s="3"/>
      <c r="F10217" s="19"/>
      <c r="G10217" s="19"/>
      <c r="N10217" s="19"/>
      <c r="P10217" s="19"/>
      <c r="AL10217" s="19"/>
    </row>
    <row r="10218" spans="1:38" s="11" customFormat="1" x14ac:dyDescent="0.25">
      <c r="A10218" s="3"/>
      <c r="F10218" s="19"/>
      <c r="G10218" s="19"/>
      <c r="N10218" s="19"/>
      <c r="P10218" s="19"/>
      <c r="AL10218" s="19"/>
    </row>
    <row r="10219" spans="1:38" s="11" customFormat="1" x14ac:dyDescent="0.25">
      <c r="A10219" s="3"/>
      <c r="F10219" s="19"/>
      <c r="G10219" s="19"/>
      <c r="N10219" s="19"/>
      <c r="P10219" s="19"/>
      <c r="AL10219" s="19"/>
    </row>
    <row r="10220" spans="1:38" s="11" customFormat="1" x14ac:dyDescent="0.25">
      <c r="A10220" s="3"/>
      <c r="F10220" s="19"/>
      <c r="G10220" s="19"/>
      <c r="N10220" s="19"/>
      <c r="P10220" s="19"/>
      <c r="AL10220" s="19"/>
    </row>
    <row r="10221" spans="1:38" s="11" customFormat="1" x14ac:dyDescent="0.25">
      <c r="A10221" s="3"/>
      <c r="F10221" s="19"/>
      <c r="G10221" s="19"/>
      <c r="N10221" s="19"/>
      <c r="P10221" s="19"/>
      <c r="AL10221" s="19"/>
    </row>
    <row r="10222" spans="1:38" s="11" customFormat="1" x14ac:dyDescent="0.25">
      <c r="A10222" s="3"/>
      <c r="F10222" s="19"/>
      <c r="G10222" s="19"/>
      <c r="N10222" s="19"/>
      <c r="P10222" s="19"/>
      <c r="AL10222" s="19"/>
    </row>
    <row r="10223" spans="1:38" s="11" customFormat="1" x14ac:dyDescent="0.25">
      <c r="A10223" s="3"/>
      <c r="F10223" s="19"/>
      <c r="G10223" s="19"/>
      <c r="N10223" s="19"/>
      <c r="P10223" s="19"/>
      <c r="AL10223" s="19"/>
    </row>
    <row r="10224" spans="1:38" s="11" customFormat="1" x14ac:dyDescent="0.25">
      <c r="A10224" s="3"/>
      <c r="F10224" s="19"/>
      <c r="G10224" s="19"/>
      <c r="N10224" s="19"/>
      <c r="P10224" s="19"/>
      <c r="AL10224" s="19"/>
    </row>
    <row r="10225" spans="1:38" s="11" customFormat="1" x14ac:dyDescent="0.25">
      <c r="A10225" s="3"/>
      <c r="F10225" s="19"/>
      <c r="G10225" s="19"/>
      <c r="N10225" s="19"/>
      <c r="P10225" s="19"/>
      <c r="AL10225" s="19"/>
    </row>
    <row r="10226" spans="1:38" s="11" customFormat="1" x14ac:dyDescent="0.25">
      <c r="A10226" s="3"/>
      <c r="F10226" s="19"/>
      <c r="G10226" s="19"/>
      <c r="N10226" s="19"/>
      <c r="P10226" s="19"/>
      <c r="AL10226" s="19"/>
    </row>
    <row r="10227" spans="1:38" s="11" customFormat="1" x14ac:dyDescent="0.25">
      <c r="A10227" s="3"/>
      <c r="F10227" s="19"/>
      <c r="G10227" s="19"/>
      <c r="N10227" s="19"/>
      <c r="P10227" s="19"/>
      <c r="AL10227" s="19"/>
    </row>
    <row r="10228" spans="1:38" s="11" customFormat="1" x14ac:dyDescent="0.25">
      <c r="A10228" s="3"/>
      <c r="F10228" s="19"/>
      <c r="G10228" s="19"/>
      <c r="N10228" s="19"/>
      <c r="P10228" s="19"/>
      <c r="AL10228" s="19"/>
    </row>
    <row r="10229" spans="1:38" s="11" customFormat="1" x14ac:dyDescent="0.25">
      <c r="A10229" s="3"/>
      <c r="F10229" s="19"/>
      <c r="G10229" s="19"/>
      <c r="N10229" s="19"/>
      <c r="P10229" s="19"/>
      <c r="AL10229" s="19"/>
    </row>
    <row r="10230" spans="1:38" s="11" customFormat="1" x14ac:dyDescent="0.25">
      <c r="A10230" s="3"/>
      <c r="F10230" s="19"/>
      <c r="G10230" s="19"/>
      <c r="N10230" s="19"/>
      <c r="P10230" s="19"/>
      <c r="AL10230" s="19"/>
    </row>
    <row r="10231" spans="1:38" s="11" customFormat="1" x14ac:dyDescent="0.25">
      <c r="A10231" s="3"/>
      <c r="F10231" s="19"/>
      <c r="G10231" s="19"/>
      <c r="N10231" s="19"/>
      <c r="P10231" s="19"/>
      <c r="AL10231" s="19"/>
    </row>
    <row r="10232" spans="1:38" s="11" customFormat="1" x14ac:dyDescent="0.25">
      <c r="A10232" s="3"/>
      <c r="F10232" s="19"/>
      <c r="G10232" s="19"/>
      <c r="N10232" s="19"/>
      <c r="P10232" s="19"/>
      <c r="AL10232" s="19"/>
    </row>
    <row r="10233" spans="1:38" s="11" customFormat="1" x14ac:dyDescent="0.25">
      <c r="A10233" s="3"/>
      <c r="F10233" s="19"/>
      <c r="G10233" s="19"/>
      <c r="N10233" s="19"/>
      <c r="P10233" s="19"/>
      <c r="AL10233" s="19"/>
    </row>
    <row r="10234" spans="1:38" s="11" customFormat="1" x14ac:dyDescent="0.25">
      <c r="A10234" s="3"/>
      <c r="F10234" s="19"/>
      <c r="G10234" s="19"/>
      <c r="N10234" s="19"/>
      <c r="P10234" s="19"/>
      <c r="AL10234" s="19"/>
    </row>
    <row r="10235" spans="1:38" s="11" customFormat="1" x14ac:dyDescent="0.25">
      <c r="A10235" s="3"/>
      <c r="F10235" s="19"/>
      <c r="G10235" s="19"/>
      <c r="N10235" s="19"/>
      <c r="P10235" s="19"/>
      <c r="AL10235" s="19"/>
    </row>
    <row r="10236" spans="1:38" s="11" customFormat="1" x14ac:dyDescent="0.25">
      <c r="A10236" s="3"/>
      <c r="F10236" s="19"/>
      <c r="G10236" s="19"/>
      <c r="N10236" s="19"/>
      <c r="P10236" s="19"/>
      <c r="AL10236" s="19"/>
    </row>
    <row r="10237" spans="1:38" s="11" customFormat="1" x14ac:dyDescent="0.25">
      <c r="A10237" s="3"/>
      <c r="F10237" s="19"/>
      <c r="G10237" s="19"/>
      <c r="N10237" s="19"/>
      <c r="P10237" s="19"/>
      <c r="AL10237" s="19"/>
    </row>
    <row r="10238" spans="1:38" s="11" customFormat="1" x14ac:dyDescent="0.25">
      <c r="A10238" s="3"/>
      <c r="F10238" s="19"/>
      <c r="G10238" s="19"/>
      <c r="N10238" s="19"/>
      <c r="P10238" s="19"/>
      <c r="AL10238" s="19"/>
    </row>
    <row r="10239" spans="1:38" s="11" customFormat="1" x14ac:dyDescent="0.25">
      <c r="A10239" s="3"/>
      <c r="F10239" s="19"/>
      <c r="G10239" s="19"/>
      <c r="N10239" s="19"/>
      <c r="P10239" s="19"/>
      <c r="AL10239" s="19"/>
    </row>
    <row r="10240" spans="1:38" s="11" customFormat="1" x14ac:dyDescent="0.25">
      <c r="A10240" s="3"/>
      <c r="F10240" s="19"/>
      <c r="G10240" s="19"/>
      <c r="N10240" s="19"/>
      <c r="P10240" s="19"/>
      <c r="AL10240" s="19"/>
    </row>
    <row r="10241" spans="1:38" s="11" customFormat="1" x14ac:dyDescent="0.25">
      <c r="A10241" s="3"/>
      <c r="F10241" s="19"/>
      <c r="G10241" s="19"/>
      <c r="N10241" s="19"/>
      <c r="P10241" s="19"/>
      <c r="AL10241" s="19"/>
    </row>
    <row r="10242" spans="1:38" s="11" customFormat="1" x14ac:dyDescent="0.25">
      <c r="A10242" s="3"/>
      <c r="F10242" s="19"/>
      <c r="G10242" s="19"/>
      <c r="N10242" s="19"/>
      <c r="P10242" s="19"/>
      <c r="AL10242" s="19"/>
    </row>
    <row r="10243" spans="1:38" s="11" customFormat="1" x14ac:dyDescent="0.25">
      <c r="A10243" s="3"/>
      <c r="F10243" s="19"/>
      <c r="G10243" s="19"/>
      <c r="N10243" s="19"/>
      <c r="P10243" s="19"/>
      <c r="AL10243" s="19"/>
    </row>
    <row r="10244" spans="1:38" s="11" customFormat="1" x14ac:dyDescent="0.25">
      <c r="A10244" s="3"/>
      <c r="F10244" s="19"/>
      <c r="G10244" s="19"/>
      <c r="N10244" s="19"/>
      <c r="P10244" s="19"/>
      <c r="AL10244" s="19"/>
    </row>
    <row r="10245" spans="1:38" s="11" customFormat="1" x14ac:dyDescent="0.25">
      <c r="A10245" s="3"/>
      <c r="F10245" s="19"/>
      <c r="G10245" s="19"/>
      <c r="N10245" s="19"/>
      <c r="P10245" s="19"/>
      <c r="AL10245" s="19"/>
    </row>
    <row r="10246" spans="1:38" s="11" customFormat="1" x14ac:dyDescent="0.25">
      <c r="A10246" s="3"/>
      <c r="F10246" s="19"/>
      <c r="G10246" s="19"/>
      <c r="N10246" s="19"/>
      <c r="P10246" s="19"/>
      <c r="AL10246" s="19"/>
    </row>
    <row r="10247" spans="1:38" s="11" customFormat="1" x14ac:dyDescent="0.25">
      <c r="A10247" s="3"/>
      <c r="F10247" s="19"/>
      <c r="G10247" s="19"/>
      <c r="N10247" s="19"/>
      <c r="P10247" s="19"/>
      <c r="AL10247" s="19"/>
    </row>
    <row r="10248" spans="1:38" s="11" customFormat="1" x14ac:dyDescent="0.25">
      <c r="A10248" s="3"/>
      <c r="F10248" s="19"/>
      <c r="G10248" s="19"/>
      <c r="N10248" s="19"/>
      <c r="P10248" s="19"/>
      <c r="AL10248" s="19"/>
    </row>
    <row r="10249" spans="1:38" s="11" customFormat="1" x14ac:dyDescent="0.25">
      <c r="A10249" s="3"/>
      <c r="F10249" s="19"/>
      <c r="G10249" s="19"/>
      <c r="N10249" s="19"/>
      <c r="P10249" s="19"/>
      <c r="AL10249" s="19"/>
    </row>
    <row r="10250" spans="1:38" s="11" customFormat="1" x14ac:dyDescent="0.25">
      <c r="A10250" s="3"/>
      <c r="F10250" s="19"/>
      <c r="G10250" s="19"/>
      <c r="N10250" s="19"/>
      <c r="P10250" s="19"/>
      <c r="AL10250" s="19"/>
    </row>
    <row r="10251" spans="1:38" s="11" customFormat="1" x14ac:dyDescent="0.25">
      <c r="A10251" s="3"/>
      <c r="F10251" s="19"/>
      <c r="G10251" s="19"/>
      <c r="N10251" s="19"/>
      <c r="P10251" s="19"/>
      <c r="AL10251" s="19"/>
    </row>
    <row r="10252" spans="1:38" s="11" customFormat="1" x14ac:dyDescent="0.25">
      <c r="A10252" s="3"/>
      <c r="F10252" s="19"/>
      <c r="G10252" s="19"/>
      <c r="N10252" s="19"/>
      <c r="P10252" s="19"/>
      <c r="AL10252" s="19"/>
    </row>
    <row r="10253" spans="1:38" s="11" customFormat="1" x14ac:dyDescent="0.25">
      <c r="A10253" s="3"/>
      <c r="F10253" s="19"/>
      <c r="G10253" s="19"/>
      <c r="N10253" s="19"/>
      <c r="P10253" s="19"/>
      <c r="AL10253" s="19"/>
    </row>
    <row r="10254" spans="1:38" s="11" customFormat="1" x14ac:dyDescent="0.25">
      <c r="A10254" s="3"/>
      <c r="F10254" s="19"/>
      <c r="G10254" s="19"/>
      <c r="N10254" s="19"/>
      <c r="P10254" s="19"/>
      <c r="AL10254" s="19"/>
    </row>
    <row r="10255" spans="1:38" s="11" customFormat="1" x14ac:dyDescent="0.25">
      <c r="A10255" s="3"/>
      <c r="F10255" s="19"/>
      <c r="G10255" s="19"/>
      <c r="N10255" s="19"/>
      <c r="P10255" s="19"/>
      <c r="AL10255" s="19"/>
    </row>
    <row r="10256" spans="1:38" s="11" customFormat="1" x14ac:dyDescent="0.25">
      <c r="A10256" s="3"/>
      <c r="F10256" s="19"/>
      <c r="G10256" s="19"/>
      <c r="N10256" s="19"/>
      <c r="P10256" s="19"/>
      <c r="AL10256" s="19"/>
    </row>
    <row r="10257" spans="1:38" s="11" customFormat="1" x14ac:dyDescent="0.25">
      <c r="A10257" s="3"/>
      <c r="F10257" s="19"/>
      <c r="G10257" s="19"/>
      <c r="N10257" s="19"/>
      <c r="P10257" s="19"/>
      <c r="AL10257" s="19"/>
    </row>
    <row r="10258" spans="1:38" s="11" customFormat="1" x14ac:dyDescent="0.25">
      <c r="A10258" s="3"/>
      <c r="F10258" s="19"/>
      <c r="G10258" s="19"/>
      <c r="N10258" s="19"/>
      <c r="P10258" s="19"/>
      <c r="AL10258" s="19"/>
    </row>
    <row r="10259" spans="1:38" s="11" customFormat="1" x14ac:dyDescent="0.25">
      <c r="A10259" s="3"/>
      <c r="F10259" s="19"/>
      <c r="G10259" s="19"/>
      <c r="N10259" s="19"/>
      <c r="P10259" s="19"/>
      <c r="AL10259" s="19"/>
    </row>
    <row r="10260" spans="1:38" s="11" customFormat="1" x14ac:dyDescent="0.25">
      <c r="A10260" s="3"/>
      <c r="F10260" s="19"/>
      <c r="G10260" s="19"/>
      <c r="N10260" s="19"/>
      <c r="P10260" s="19"/>
      <c r="AL10260" s="19"/>
    </row>
    <row r="10261" spans="1:38" s="11" customFormat="1" x14ac:dyDescent="0.25">
      <c r="A10261" s="3"/>
      <c r="F10261" s="19"/>
      <c r="G10261" s="19"/>
      <c r="N10261" s="19"/>
      <c r="P10261" s="19"/>
      <c r="AL10261" s="19"/>
    </row>
    <row r="10262" spans="1:38" s="11" customFormat="1" x14ac:dyDescent="0.25">
      <c r="A10262" s="3"/>
      <c r="F10262" s="19"/>
      <c r="G10262" s="19"/>
      <c r="N10262" s="19"/>
      <c r="P10262" s="19"/>
      <c r="AL10262" s="19"/>
    </row>
    <row r="10263" spans="1:38" s="11" customFormat="1" x14ac:dyDescent="0.25">
      <c r="A10263" s="3"/>
      <c r="F10263" s="19"/>
      <c r="G10263" s="19"/>
      <c r="N10263" s="19"/>
      <c r="P10263" s="19"/>
      <c r="AL10263" s="19"/>
    </row>
    <row r="10264" spans="1:38" s="11" customFormat="1" x14ac:dyDescent="0.25">
      <c r="A10264" s="3"/>
      <c r="F10264" s="19"/>
      <c r="G10264" s="19"/>
      <c r="N10264" s="19"/>
      <c r="P10264" s="19"/>
      <c r="AL10264" s="19"/>
    </row>
    <row r="10265" spans="1:38" s="11" customFormat="1" x14ac:dyDescent="0.25">
      <c r="A10265" s="3"/>
      <c r="F10265" s="19"/>
      <c r="G10265" s="19"/>
      <c r="N10265" s="19"/>
      <c r="P10265" s="19"/>
      <c r="AL10265" s="19"/>
    </row>
    <row r="10266" spans="1:38" s="11" customFormat="1" x14ac:dyDescent="0.25">
      <c r="A10266" s="3"/>
      <c r="F10266" s="19"/>
      <c r="G10266" s="19"/>
      <c r="N10266" s="19"/>
      <c r="P10266" s="19"/>
      <c r="AL10266" s="19"/>
    </row>
    <row r="10267" spans="1:38" s="11" customFormat="1" x14ac:dyDescent="0.25">
      <c r="A10267" s="3"/>
      <c r="F10267" s="19"/>
      <c r="G10267" s="19"/>
      <c r="N10267" s="19"/>
      <c r="P10267" s="19"/>
      <c r="AL10267" s="19"/>
    </row>
    <row r="10268" spans="1:38" s="11" customFormat="1" x14ac:dyDescent="0.25">
      <c r="A10268" s="3"/>
      <c r="F10268" s="19"/>
      <c r="G10268" s="19"/>
      <c r="N10268" s="19"/>
      <c r="P10268" s="19"/>
      <c r="AL10268" s="19"/>
    </row>
    <row r="10269" spans="1:38" s="11" customFormat="1" x14ac:dyDescent="0.25">
      <c r="A10269" s="3"/>
      <c r="F10269" s="19"/>
      <c r="G10269" s="19"/>
      <c r="N10269" s="19"/>
      <c r="P10269" s="19"/>
      <c r="AL10269" s="19"/>
    </row>
    <row r="10270" spans="1:38" s="11" customFormat="1" x14ac:dyDescent="0.25">
      <c r="A10270" s="3"/>
      <c r="F10270" s="19"/>
      <c r="G10270" s="19"/>
      <c r="N10270" s="19"/>
      <c r="P10270" s="19"/>
      <c r="AL10270" s="19"/>
    </row>
    <row r="10271" spans="1:38" s="11" customFormat="1" x14ac:dyDescent="0.25">
      <c r="A10271" s="3"/>
      <c r="F10271" s="19"/>
      <c r="G10271" s="19"/>
      <c r="N10271" s="19"/>
      <c r="P10271" s="19"/>
      <c r="AL10271" s="19"/>
    </row>
    <row r="10272" spans="1:38" s="11" customFormat="1" x14ac:dyDescent="0.25">
      <c r="A10272" s="3"/>
      <c r="F10272" s="19"/>
      <c r="G10272" s="19"/>
      <c r="N10272" s="19"/>
      <c r="P10272" s="19"/>
      <c r="AL10272" s="19"/>
    </row>
    <row r="10273" spans="1:38" s="11" customFormat="1" x14ac:dyDescent="0.25">
      <c r="A10273" s="3"/>
      <c r="F10273" s="19"/>
      <c r="G10273" s="19"/>
      <c r="N10273" s="19"/>
      <c r="P10273" s="19"/>
      <c r="AL10273" s="19"/>
    </row>
    <row r="10274" spans="1:38" s="11" customFormat="1" x14ac:dyDescent="0.25">
      <c r="A10274" s="3"/>
      <c r="F10274" s="19"/>
      <c r="G10274" s="19"/>
      <c r="N10274" s="19"/>
      <c r="P10274" s="19"/>
      <c r="AL10274" s="19"/>
    </row>
    <row r="10275" spans="1:38" s="11" customFormat="1" x14ac:dyDescent="0.25">
      <c r="A10275" s="3"/>
      <c r="F10275" s="19"/>
      <c r="G10275" s="19"/>
      <c r="N10275" s="19"/>
      <c r="P10275" s="19"/>
      <c r="AL10275" s="19"/>
    </row>
    <row r="10276" spans="1:38" s="11" customFormat="1" x14ac:dyDescent="0.25">
      <c r="A10276" s="3"/>
      <c r="F10276" s="19"/>
      <c r="G10276" s="19"/>
      <c r="N10276" s="19"/>
      <c r="P10276" s="19"/>
      <c r="AL10276" s="19"/>
    </row>
    <row r="10277" spans="1:38" s="11" customFormat="1" x14ac:dyDescent="0.25">
      <c r="A10277" s="3"/>
      <c r="F10277" s="19"/>
      <c r="G10277" s="19"/>
      <c r="N10277" s="19"/>
      <c r="P10277" s="19"/>
      <c r="AL10277" s="19"/>
    </row>
    <row r="10278" spans="1:38" s="11" customFormat="1" x14ac:dyDescent="0.25">
      <c r="A10278" s="3"/>
      <c r="F10278" s="19"/>
      <c r="G10278" s="19"/>
      <c r="N10278" s="19"/>
      <c r="P10278" s="19"/>
      <c r="AL10278" s="19"/>
    </row>
    <row r="10279" spans="1:38" s="11" customFormat="1" x14ac:dyDescent="0.25">
      <c r="A10279" s="3"/>
      <c r="F10279" s="19"/>
      <c r="G10279" s="19"/>
      <c r="N10279" s="19"/>
      <c r="P10279" s="19"/>
      <c r="AL10279" s="19"/>
    </row>
    <row r="10280" spans="1:38" s="11" customFormat="1" x14ac:dyDescent="0.25">
      <c r="A10280" s="3"/>
      <c r="F10280" s="19"/>
      <c r="G10280" s="19"/>
      <c r="N10280" s="19"/>
      <c r="P10280" s="19"/>
      <c r="AL10280" s="19"/>
    </row>
    <row r="10281" spans="1:38" s="11" customFormat="1" x14ac:dyDescent="0.25">
      <c r="A10281" s="3"/>
      <c r="F10281" s="19"/>
      <c r="G10281" s="19"/>
      <c r="N10281" s="19"/>
      <c r="P10281" s="19"/>
      <c r="AL10281" s="19"/>
    </row>
    <row r="10282" spans="1:38" s="11" customFormat="1" x14ac:dyDescent="0.25">
      <c r="A10282" s="3"/>
      <c r="F10282" s="19"/>
      <c r="G10282" s="19"/>
      <c r="N10282" s="19"/>
      <c r="P10282" s="19"/>
      <c r="AL10282" s="19"/>
    </row>
    <row r="10283" spans="1:38" s="11" customFormat="1" x14ac:dyDescent="0.25">
      <c r="A10283" s="3"/>
      <c r="F10283" s="19"/>
      <c r="G10283" s="19"/>
      <c r="N10283" s="19"/>
      <c r="P10283" s="19"/>
      <c r="AL10283" s="19"/>
    </row>
    <row r="10284" spans="1:38" s="11" customFormat="1" x14ac:dyDescent="0.25">
      <c r="A10284" s="3"/>
      <c r="F10284" s="19"/>
      <c r="G10284" s="19"/>
      <c r="N10284" s="19"/>
      <c r="P10284" s="19"/>
      <c r="AL10284" s="19"/>
    </row>
    <row r="10285" spans="1:38" s="11" customFormat="1" x14ac:dyDescent="0.25">
      <c r="A10285" s="3"/>
      <c r="F10285" s="19"/>
      <c r="G10285" s="19"/>
      <c r="N10285" s="19"/>
      <c r="P10285" s="19"/>
      <c r="AL10285" s="19"/>
    </row>
    <row r="10286" spans="1:38" s="11" customFormat="1" x14ac:dyDescent="0.25">
      <c r="A10286" s="3"/>
      <c r="F10286" s="19"/>
      <c r="G10286" s="19"/>
      <c r="N10286" s="19"/>
      <c r="P10286" s="19"/>
      <c r="AL10286" s="19"/>
    </row>
    <row r="10287" spans="1:38" s="11" customFormat="1" x14ac:dyDescent="0.25">
      <c r="A10287" s="3"/>
      <c r="F10287" s="19"/>
      <c r="G10287" s="19"/>
      <c r="N10287" s="19"/>
      <c r="P10287" s="19"/>
      <c r="AL10287" s="19"/>
    </row>
    <row r="10288" spans="1:38" s="11" customFormat="1" x14ac:dyDescent="0.25">
      <c r="A10288" s="3"/>
      <c r="F10288" s="19"/>
      <c r="G10288" s="19"/>
      <c r="N10288" s="19"/>
      <c r="P10288" s="19"/>
      <c r="AL10288" s="19"/>
    </row>
    <row r="10289" spans="1:38" s="11" customFormat="1" x14ac:dyDescent="0.25">
      <c r="A10289" s="3"/>
      <c r="F10289" s="19"/>
      <c r="G10289" s="19"/>
      <c r="N10289" s="19"/>
      <c r="P10289" s="19"/>
      <c r="AL10289" s="19"/>
    </row>
    <row r="10290" spans="1:38" s="11" customFormat="1" x14ac:dyDescent="0.25">
      <c r="A10290" s="3"/>
      <c r="F10290" s="19"/>
      <c r="G10290" s="19"/>
      <c r="N10290" s="19"/>
      <c r="P10290" s="19"/>
      <c r="AL10290" s="19"/>
    </row>
    <row r="10291" spans="1:38" s="11" customFormat="1" x14ac:dyDescent="0.25">
      <c r="A10291" s="3"/>
      <c r="F10291" s="19"/>
      <c r="G10291" s="19"/>
      <c r="N10291" s="19"/>
      <c r="P10291" s="19"/>
      <c r="AL10291" s="19"/>
    </row>
    <row r="10292" spans="1:38" s="11" customFormat="1" x14ac:dyDescent="0.25">
      <c r="A10292" s="3"/>
      <c r="F10292" s="19"/>
      <c r="G10292" s="19"/>
      <c r="N10292" s="19"/>
      <c r="P10292" s="19"/>
      <c r="AL10292" s="19"/>
    </row>
    <row r="10293" spans="1:38" s="11" customFormat="1" x14ac:dyDescent="0.25">
      <c r="A10293" s="3"/>
      <c r="F10293" s="19"/>
      <c r="G10293" s="19"/>
      <c r="N10293" s="19"/>
      <c r="P10293" s="19"/>
      <c r="AL10293" s="19"/>
    </row>
    <row r="10294" spans="1:38" s="11" customFormat="1" x14ac:dyDescent="0.25">
      <c r="A10294" s="3"/>
      <c r="F10294" s="19"/>
      <c r="G10294" s="19"/>
      <c r="N10294" s="19"/>
      <c r="P10294" s="19"/>
      <c r="AL10294" s="19"/>
    </row>
    <row r="10295" spans="1:38" s="11" customFormat="1" x14ac:dyDescent="0.25">
      <c r="A10295" s="3"/>
      <c r="F10295" s="19"/>
      <c r="G10295" s="19"/>
      <c r="N10295" s="19"/>
      <c r="P10295" s="19"/>
      <c r="AL10295" s="19"/>
    </row>
    <row r="10296" spans="1:38" s="11" customFormat="1" x14ac:dyDescent="0.25">
      <c r="A10296" s="3"/>
      <c r="F10296" s="19"/>
      <c r="G10296" s="19"/>
      <c r="N10296" s="19"/>
      <c r="P10296" s="19"/>
      <c r="AL10296" s="19"/>
    </row>
    <row r="10297" spans="1:38" s="11" customFormat="1" x14ac:dyDescent="0.25">
      <c r="A10297" s="3"/>
      <c r="F10297" s="19"/>
      <c r="G10297" s="19"/>
      <c r="N10297" s="19"/>
      <c r="P10297" s="19"/>
      <c r="AL10297" s="19"/>
    </row>
    <row r="10298" spans="1:38" s="11" customFormat="1" x14ac:dyDescent="0.25">
      <c r="A10298" s="3"/>
      <c r="F10298" s="19"/>
      <c r="G10298" s="19"/>
      <c r="N10298" s="19"/>
      <c r="P10298" s="19"/>
      <c r="AL10298" s="19"/>
    </row>
    <row r="10299" spans="1:38" s="11" customFormat="1" x14ac:dyDescent="0.25">
      <c r="A10299" s="3"/>
      <c r="F10299" s="19"/>
      <c r="G10299" s="19"/>
      <c r="N10299" s="19"/>
      <c r="P10299" s="19"/>
      <c r="AL10299" s="19"/>
    </row>
    <row r="10300" spans="1:38" s="11" customFormat="1" x14ac:dyDescent="0.25">
      <c r="A10300" s="3"/>
      <c r="F10300" s="19"/>
      <c r="G10300" s="19"/>
      <c r="N10300" s="19"/>
      <c r="P10300" s="19"/>
      <c r="AL10300" s="19"/>
    </row>
    <row r="10301" spans="1:38" s="11" customFormat="1" x14ac:dyDescent="0.25">
      <c r="A10301" s="3"/>
      <c r="F10301" s="19"/>
      <c r="G10301" s="19"/>
      <c r="N10301" s="19"/>
      <c r="P10301" s="19"/>
      <c r="AL10301" s="19"/>
    </row>
    <row r="10302" spans="1:38" s="11" customFormat="1" x14ac:dyDescent="0.25">
      <c r="A10302" s="3"/>
      <c r="F10302" s="19"/>
      <c r="G10302" s="19"/>
      <c r="N10302" s="19"/>
      <c r="P10302" s="19"/>
      <c r="AL10302" s="19"/>
    </row>
    <row r="10303" spans="1:38" s="11" customFormat="1" x14ac:dyDescent="0.25">
      <c r="A10303" s="3"/>
      <c r="F10303" s="19"/>
      <c r="G10303" s="19"/>
      <c r="N10303" s="19"/>
      <c r="P10303" s="19"/>
      <c r="AL10303" s="19"/>
    </row>
    <row r="10304" spans="1:38" s="11" customFormat="1" x14ac:dyDescent="0.25">
      <c r="A10304" s="3"/>
      <c r="F10304" s="19"/>
      <c r="G10304" s="19"/>
      <c r="N10304" s="19"/>
      <c r="P10304" s="19"/>
      <c r="AL10304" s="19"/>
    </row>
    <row r="10305" spans="1:38" s="11" customFormat="1" x14ac:dyDescent="0.25">
      <c r="A10305" s="3"/>
      <c r="F10305" s="19"/>
      <c r="G10305" s="19"/>
      <c r="N10305" s="19"/>
      <c r="P10305" s="19"/>
      <c r="AL10305" s="19"/>
    </row>
    <row r="10306" spans="1:38" s="11" customFormat="1" x14ac:dyDescent="0.25">
      <c r="A10306" s="3"/>
      <c r="F10306" s="19"/>
      <c r="G10306" s="19"/>
      <c r="N10306" s="19"/>
      <c r="P10306" s="19"/>
      <c r="AL10306" s="19"/>
    </row>
    <row r="10307" spans="1:38" s="11" customFormat="1" x14ac:dyDescent="0.25">
      <c r="A10307" s="3"/>
      <c r="F10307" s="19"/>
      <c r="G10307" s="19"/>
      <c r="N10307" s="19"/>
      <c r="P10307" s="19"/>
      <c r="AL10307" s="19"/>
    </row>
    <row r="10308" spans="1:38" s="11" customFormat="1" x14ac:dyDescent="0.25">
      <c r="A10308" s="3"/>
      <c r="F10308" s="19"/>
      <c r="G10308" s="19"/>
      <c r="N10308" s="19"/>
      <c r="P10308" s="19"/>
      <c r="AL10308" s="19"/>
    </row>
    <row r="10309" spans="1:38" s="11" customFormat="1" x14ac:dyDescent="0.25">
      <c r="A10309" s="3"/>
      <c r="F10309" s="19"/>
      <c r="G10309" s="19"/>
      <c r="N10309" s="19"/>
      <c r="P10309" s="19"/>
      <c r="AL10309" s="19"/>
    </row>
    <row r="10310" spans="1:38" s="11" customFormat="1" x14ac:dyDescent="0.25">
      <c r="A10310" s="3"/>
      <c r="F10310" s="19"/>
      <c r="G10310" s="19"/>
      <c r="N10310" s="19"/>
      <c r="P10310" s="19"/>
      <c r="AL10310" s="19"/>
    </row>
    <row r="10311" spans="1:38" s="11" customFormat="1" x14ac:dyDescent="0.25">
      <c r="A10311" s="3"/>
      <c r="F10311" s="19"/>
      <c r="G10311" s="19"/>
      <c r="N10311" s="19"/>
      <c r="P10311" s="19"/>
      <c r="AL10311" s="19"/>
    </row>
    <row r="10312" spans="1:38" s="11" customFormat="1" x14ac:dyDescent="0.25">
      <c r="A10312" s="3"/>
      <c r="F10312" s="19"/>
      <c r="G10312" s="19"/>
      <c r="N10312" s="19"/>
      <c r="P10312" s="19"/>
      <c r="AL10312" s="19"/>
    </row>
    <row r="10313" spans="1:38" s="11" customFormat="1" x14ac:dyDescent="0.25">
      <c r="A10313" s="3"/>
      <c r="F10313" s="19"/>
      <c r="G10313" s="19"/>
      <c r="N10313" s="19"/>
      <c r="P10313" s="19"/>
      <c r="AL10313" s="19"/>
    </row>
    <row r="10314" spans="1:38" s="11" customFormat="1" x14ac:dyDescent="0.25">
      <c r="A10314" s="3"/>
      <c r="F10314" s="19"/>
      <c r="G10314" s="19"/>
      <c r="N10314" s="19"/>
      <c r="P10314" s="19"/>
      <c r="AL10314" s="19"/>
    </row>
    <row r="10315" spans="1:38" s="11" customFormat="1" x14ac:dyDescent="0.25">
      <c r="A10315" s="3"/>
      <c r="F10315" s="19"/>
      <c r="G10315" s="19"/>
      <c r="N10315" s="19"/>
      <c r="P10315" s="19"/>
      <c r="AL10315" s="19"/>
    </row>
    <row r="10316" spans="1:38" s="11" customFormat="1" x14ac:dyDescent="0.25">
      <c r="A10316" s="3"/>
      <c r="F10316" s="19"/>
      <c r="G10316" s="19"/>
      <c r="N10316" s="19"/>
      <c r="P10316" s="19"/>
      <c r="AL10316" s="19"/>
    </row>
    <row r="10317" spans="1:38" s="11" customFormat="1" x14ac:dyDescent="0.25">
      <c r="A10317" s="3"/>
      <c r="F10317" s="19"/>
      <c r="G10317" s="19"/>
      <c r="N10317" s="19"/>
      <c r="P10317" s="19"/>
      <c r="AL10317" s="19"/>
    </row>
    <row r="10318" spans="1:38" s="11" customFormat="1" x14ac:dyDescent="0.25">
      <c r="A10318" s="3"/>
      <c r="F10318" s="19"/>
      <c r="G10318" s="19"/>
      <c r="N10318" s="19"/>
      <c r="P10318" s="19"/>
      <c r="AL10318" s="19"/>
    </row>
    <row r="10319" spans="1:38" s="11" customFormat="1" x14ac:dyDescent="0.25">
      <c r="A10319" s="3"/>
      <c r="F10319" s="19"/>
      <c r="G10319" s="19"/>
      <c r="N10319" s="19"/>
      <c r="P10319" s="19"/>
      <c r="AL10319" s="19"/>
    </row>
    <row r="10320" spans="1:38" s="11" customFormat="1" x14ac:dyDescent="0.25">
      <c r="A10320" s="3"/>
      <c r="F10320" s="19"/>
      <c r="G10320" s="19"/>
      <c r="N10320" s="19"/>
      <c r="P10320" s="19"/>
      <c r="AL10320" s="19"/>
    </row>
    <row r="10321" spans="1:38" s="11" customFormat="1" x14ac:dyDescent="0.25">
      <c r="A10321" s="3"/>
      <c r="F10321" s="19"/>
      <c r="G10321" s="19"/>
      <c r="N10321" s="19"/>
      <c r="P10321" s="19"/>
      <c r="AL10321" s="19"/>
    </row>
    <row r="10322" spans="1:38" s="11" customFormat="1" x14ac:dyDescent="0.25">
      <c r="A10322" s="3"/>
      <c r="F10322" s="19"/>
      <c r="G10322" s="19"/>
      <c r="N10322" s="19"/>
      <c r="P10322" s="19"/>
      <c r="AL10322" s="19"/>
    </row>
    <row r="10323" spans="1:38" s="11" customFormat="1" x14ac:dyDescent="0.25">
      <c r="A10323" s="3"/>
      <c r="F10323" s="19"/>
      <c r="G10323" s="19"/>
      <c r="N10323" s="19"/>
      <c r="P10323" s="19"/>
      <c r="AL10323" s="19"/>
    </row>
    <row r="10324" spans="1:38" s="11" customFormat="1" x14ac:dyDescent="0.25">
      <c r="A10324" s="3"/>
      <c r="F10324" s="19"/>
      <c r="G10324" s="19"/>
      <c r="N10324" s="19"/>
      <c r="P10324" s="19"/>
      <c r="AL10324" s="19"/>
    </row>
    <row r="10325" spans="1:38" s="11" customFormat="1" x14ac:dyDescent="0.25">
      <c r="A10325" s="3"/>
      <c r="F10325" s="19"/>
      <c r="G10325" s="19"/>
      <c r="N10325" s="19"/>
      <c r="P10325" s="19"/>
      <c r="AL10325" s="19"/>
    </row>
    <row r="10326" spans="1:38" s="11" customFormat="1" x14ac:dyDescent="0.25">
      <c r="A10326" s="3"/>
      <c r="F10326" s="19"/>
      <c r="G10326" s="19"/>
      <c r="N10326" s="19"/>
      <c r="P10326" s="19"/>
      <c r="AL10326" s="19"/>
    </row>
    <row r="10327" spans="1:38" s="11" customFormat="1" x14ac:dyDescent="0.25">
      <c r="A10327" s="3"/>
      <c r="F10327" s="19"/>
      <c r="G10327" s="19"/>
      <c r="N10327" s="19"/>
      <c r="P10327" s="19"/>
      <c r="AL10327" s="19"/>
    </row>
    <row r="10328" spans="1:38" s="11" customFormat="1" x14ac:dyDescent="0.25">
      <c r="A10328" s="3"/>
      <c r="F10328" s="19"/>
      <c r="G10328" s="19"/>
      <c r="N10328" s="19"/>
      <c r="P10328" s="19"/>
      <c r="AL10328" s="19"/>
    </row>
    <row r="10329" spans="1:38" s="11" customFormat="1" x14ac:dyDescent="0.25">
      <c r="A10329" s="3"/>
      <c r="F10329" s="19"/>
      <c r="G10329" s="19"/>
      <c r="N10329" s="19"/>
      <c r="P10329" s="19"/>
      <c r="AL10329" s="19"/>
    </row>
    <row r="10330" spans="1:38" s="11" customFormat="1" x14ac:dyDescent="0.25">
      <c r="A10330" s="3"/>
      <c r="F10330" s="19"/>
      <c r="G10330" s="19"/>
      <c r="N10330" s="19"/>
      <c r="P10330" s="19"/>
      <c r="AL10330" s="19"/>
    </row>
    <row r="10331" spans="1:38" s="11" customFormat="1" x14ac:dyDescent="0.25">
      <c r="A10331" s="3"/>
      <c r="F10331" s="19"/>
      <c r="G10331" s="19"/>
      <c r="N10331" s="19"/>
      <c r="P10331" s="19"/>
      <c r="AL10331" s="19"/>
    </row>
    <row r="10332" spans="1:38" s="11" customFormat="1" x14ac:dyDescent="0.25">
      <c r="A10332" s="3"/>
      <c r="F10332" s="19"/>
      <c r="G10332" s="19"/>
      <c r="N10332" s="19"/>
      <c r="P10332" s="19"/>
      <c r="AL10332" s="19"/>
    </row>
    <row r="10333" spans="1:38" s="11" customFormat="1" x14ac:dyDescent="0.25">
      <c r="A10333" s="3"/>
      <c r="F10333" s="19"/>
      <c r="G10333" s="19"/>
      <c r="N10333" s="19"/>
      <c r="P10333" s="19"/>
      <c r="AL10333" s="19"/>
    </row>
    <row r="10334" spans="1:38" s="11" customFormat="1" x14ac:dyDescent="0.25">
      <c r="A10334" s="3"/>
      <c r="F10334" s="19"/>
      <c r="G10334" s="19"/>
      <c r="N10334" s="19"/>
      <c r="P10334" s="19"/>
      <c r="AL10334" s="19"/>
    </row>
    <row r="10335" spans="1:38" s="11" customFormat="1" x14ac:dyDescent="0.25">
      <c r="A10335" s="3"/>
      <c r="F10335" s="19"/>
      <c r="G10335" s="19"/>
      <c r="N10335" s="19"/>
      <c r="P10335" s="19"/>
      <c r="AL10335" s="19"/>
    </row>
    <row r="10336" spans="1:38" s="11" customFormat="1" x14ac:dyDescent="0.25">
      <c r="A10336" s="3"/>
      <c r="F10336" s="19"/>
      <c r="G10336" s="19"/>
      <c r="N10336" s="19"/>
      <c r="P10336" s="19"/>
      <c r="AL10336" s="19"/>
    </row>
    <row r="10337" spans="1:38" s="11" customFormat="1" x14ac:dyDescent="0.25">
      <c r="A10337" s="3"/>
      <c r="F10337" s="19"/>
      <c r="G10337" s="19"/>
      <c r="N10337" s="19"/>
      <c r="P10337" s="19"/>
      <c r="AL10337" s="19"/>
    </row>
    <row r="10338" spans="1:38" s="11" customFormat="1" x14ac:dyDescent="0.25">
      <c r="A10338" s="3"/>
      <c r="F10338" s="19"/>
      <c r="G10338" s="19"/>
      <c r="N10338" s="19"/>
      <c r="P10338" s="19"/>
      <c r="AL10338" s="19"/>
    </row>
    <row r="10339" spans="1:38" s="11" customFormat="1" x14ac:dyDescent="0.25">
      <c r="A10339" s="3"/>
      <c r="F10339" s="19"/>
      <c r="G10339" s="19"/>
      <c r="N10339" s="19"/>
      <c r="P10339" s="19"/>
      <c r="AL10339" s="19"/>
    </row>
    <row r="10340" spans="1:38" s="11" customFormat="1" x14ac:dyDescent="0.25">
      <c r="A10340" s="3"/>
      <c r="F10340" s="19"/>
      <c r="G10340" s="19"/>
      <c r="N10340" s="19"/>
      <c r="P10340" s="19"/>
      <c r="AL10340" s="19"/>
    </row>
    <row r="10341" spans="1:38" s="11" customFormat="1" x14ac:dyDescent="0.25">
      <c r="A10341" s="3"/>
      <c r="F10341" s="19"/>
      <c r="G10341" s="19"/>
      <c r="N10341" s="19"/>
      <c r="P10341" s="19"/>
      <c r="AL10341" s="19"/>
    </row>
    <row r="10342" spans="1:38" s="11" customFormat="1" x14ac:dyDescent="0.25">
      <c r="A10342" s="3"/>
      <c r="F10342" s="19"/>
      <c r="G10342" s="19"/>
      <c r="N10342" s="19"/>
      <c r="P10342" s="19"/>
      <c r="AL10342" s="19"/>
    </row>
    <row r="10343" spans="1:38" s="11" customFormat="1" x14ac:dyDescent="0.25">
      <c r="A10343" s="3"/>
      <c r="F10343" s="19"/>
      <c r="G10343" s="19"/>
      <c r="N10343" s="19"/>
      <c r="P10343" s="19"/>
      <c r="AL10343" s="19"/>
    </row>
    <row r="10344" spans="1:38" s="11" customFormat="1" x14ac:dyDescent="0.25">
      <c r="A10344" s="3"/>
      <c r="F10344" s="19"/>
      <c r="G10344" s="19"/>
      <c r="N10344" s="19"/>
      <c r="P10344" s="19"/>
      <c r="AL10344" s="19"/>
    </row>
    <row r="10345" spans="1:38" s="11" customFormat="1" x14ac:dyDescent="0.25">
      <c r="A10345" s="3"/>
      <c r="F10345" s="19"/>
      <c r="G10345" s="19"/>
      <c r="N10345" s="19"/>
      <c r="P10345" s="19"/>
      <c r="AL10345" s="19"/>
    </row>
    <row r="10346" spans="1:38" s="11" customFormat="1" x14ac:dyDescent="0.25">
      <c r="A10346" s="3"/>
      <c r="F10346" s="19"/>
      <c r="G10346" s="19"/>
      <c r="N10346" s="19"/>
      <c r="P10346" s="19"/>
      <c r="AL10346" s="19"/>
    </row>
    <row r="10347" spans="1:38" s="11" customFormat="1" x14ac:dyDescent="0.25">
      <c r="A10347" s="3"/>
      <c r="F10347" s="19"/>
      <c r="G10347" s="19"/>
      <c r="N10347" s="19"/>
      <c r="P10347" s="19"/>
      <c r="AL10347" s="19"/>
    </row>
    <row r="10348" spans="1:38" s="11" customFormat="1" x14ac:dyDescent="0.25">
      <c r="A10348" s="3"/>
      <c r="F10348" s="19"/>
      <c r="G10348" s="19"/>
      <c r="N10348" s="19"/>
      <c r="P10348" s="19"/>
      <c r="AL10348" s="19"/>
    </row>
    <row r="10349" spans="1:38" s="11" customFormat="1" x14ac:dyDescent="0.25">
      <c r="A10349" s="3"/>
      <c r="F10349" s="19"/>
      <c r="G10349" s="19"/>
      <c r="N10349" s="19"/>
      <c r="P10349" s="19"/>
      <c r="AL10349" s="19"/>
    </row>
    <row r="10350" spans="1:38" s="11" customFormat="1" x14ac:dyDescent="0.25">
      <c r="A10350" s="3"/>
      <c r="F10350" s="19"/>
      <c r="G10350" s="19"/>
      <c r="N10350" s="19"/>
      <c r="P10350" s="19"/>
      <c r="AL10350" s="19"/>
    </row>
    <row r="10351" spans="1:38" s="11" customFormat="1" x14ac:dyDescent="0.25">
      <c r="A10351" s="3"/>
      <c r="F10351" s="19"/>
      <c r="G10351" s="19"/>
      <c r="N10351" s="19"/>
      <c r="P10351" s="19"/>
      <c r="AL10351" s="19"/>
    </row>
    <row r="10352" spans="1:38" s="11" customFormat="1" x14ac:dyDescent="0.25">
      <c r="A10352" s="3"/>
      <c r="F10352" s="19"/>
      <c r="G10352" s="19"/>
      <c r="N10352" s="19"/>
      <c r="P10352" s="19"/>
      <c r="AL10352" s="19"/>
    </row>
    <row r="10353" spans="1:38" s="11" customFormat="1" x14ac:dyDescent="0.25">
      <c r="A10353" s="3"/>
      <c r="F10353" s="19"/>
      <c r="G10353" s="19"/>
      <c r="N10353" s="19"/>
      <c r="P10353" s="19"/>
      <c r="AL10353" s="19"/>
    </row>
    <row r="10354" spans="1:38" s="11" customFormat="1" x14ac:dyDescent="0.25">
      <c r="A10354" s="3"/>
      <c r="F10354" s="19"/>
      <c r="G10354" s="19"/>
      <c r="N10354" s="19"/>
      <c r="P10354" s="19"/>
      <c r="AL10354" s="19"/>
    </row>
    <row r="10355" spans="1:38" s="11" customFormat="1" x14ac:dyDescent="0.25">
      <c r="A10355" s="3"/>
      <c r="F10355" s="19"/>
      <c r="G10355" s="19"/>
      <c r="N10355" s="19"/>
      <c r="P10355" s="19"/>
      <c r="AL10355" s="19"/>
    </row>
    <row r="10356" spans="1:38" s="11" customFormat="1" x14ac:dyDescent="0.25">
      <c r="A10356" s="3"/>
      <c r="F10356" s="19"/>
      <c r="G10356" s="19"/>
      <c r="N10356" s="19"/>
      <c r="P10356" s="19"/>
      <c r="AL10356" s="19"/>
    </row>
    <row r="10357" spans="1:38" s="11" customFormat="1" x14ac:dyDescent="0.25">
      <c r="A10357" s="3"/>
      <c r="F10357" s="19"/>
      <c r="G10357" s="19"/>
      <c r="N10357" s="19"/>
      <c r="P10357" s="19"/>
      <c r="AL10357" s="19"/>
    </row>
    <row r="10358" spans="1:38" s="11" customFormat="1" x14ac:dyDescent="0.25">
      <c r="A10358" s="3"/>
      <c r="F10358" s="19"/>
      <c r="G10358" s="19"/>
      <c r="N10358" s="19"/>
      <c r="P10358" s="19"/>
      <c r="AL10358" s="19"/>
    </row>
    <row r="10359" spans="1:38" s="11" customFormat="1" x14ac:dyDescent="0.25">
      <c r="A10359" s="3"/>
      <c r="F10359" s="19"/>
      <c r="G10359" s="19"/>
      <c r="N10359" s="19"/>
      <c r="P10359" s="19"/>
      <c r="AL10359" s="19"/>
    </row>
    <row r="10360" spans="1:38" s="11" customFormat="1" x14ac:dyDescent="0.25">
      <c r="A10360" s="3"/>
      <c r="F10360" s="19"/>
      <c r="G10360" s="19"/>
      <c r="N10360" s="19"/>
      <c r="P10360" s="19"/>
      <c r="AL10360" s="19"/>
    </row>
    <row r="10361" spans="1:38" s="11" customFormat="1" x14ac:dyDescent="0.25">
      <c r="A10361" s="3"/>
      <c r="F10361" s="19"/>
      <c r="G10361" s="19"/>
      <c r="N10361" s="19"/>
      <c r="P10361" s="19"/>
      <c r="AL10361" s="19"/>
    </row>
    <row r="10362" spans="1:38" s="11" customFormat="1" x14ac:dyDescent="0.25">
      <c r="A10362" s="3"/>
      <c r="F10362" s="19"/>
      <c r="G10362" s="19"/>
      <c r="N10362" s="19"/>
      <c r="P10362" s="19"/>
      <c r="AL10362" s="19"/>
    </row>
    <row r="10363" spans="1:38" s="11" customFormat="1" x14ac:dyDescent="0.25">
      <c r="A10363" s="3"/>
      <c r="F10363" s="19"/>
      <c r="G10363" s="19"/>
      <c r="N10363" s="19"/>
      <c r="P10363" s="19"/>
      <c r="AL10363" s="19"/>
    </row>
    <row r="10364" spans="1:38" s="11" customFormat="1" x14ac:dyDescent="0.25">
      <c r="A10364" s="3"/>
      <c r="F10364" s="19"/>
      <c r="G10364" s="19"/>
      <c r="N10364" s="19"/>
      <c r="P10364" s="19"/>
      <c r="AL10364" s="19"/>
    </row>
    <row r="10365" spans="1:38" s="11" customFormat="1" x14ac:dyDescent="0.25">
      <c r="A10365" s="3"/>
      <c r="F10365" s="19"/>
      <c r="G10365" s="19"/>
      <c r="N10365" s="19"/>
      <c r="P10365" s="19"/>
      <c r="AL10365" s="19"/>
    </row>
    <row r="10366" spans="1:38" s="11" customFormat="1" x14ac:dyDescent="0.25">
      <c r="A10366" s="3"/>
      <c r="F10366" s="19"/>
      <c r="G10366" s="19"/>
      <c r="N10366" s="19"/>
      <c r="P10366" s="19"/>
      <c r="AL10366" s="19"/>
    </row>
    <row r="10367" spans="1:38" s="11" customFormat="1" x14ac:dyDescent="0.25">
      <c r="A10367" s="3"/>
      <c r="F10367" s="19"/>
      <c r="G10367" s="19"/>
      <c r="N10367" s="19"/>
      <c r="P10367" s="19"/>
      <c r="AL10367" s="19"/>
    </row>
    <row r="10368" spans="1:38" s="11" customFormat="1" x14ac:dyDescent="0.25">
      <c r="A10368" s="3"/>
      <c r="F10368" s="19"/>
      <c r="G10368" s="19"/>
      <c r="N10368" s="19"/>
      <c r="P10368" s="19"/>
      <c r="AL10368" s="19"/>
    </row>
    <row r="10369" spans="1:38" s="11" customFormat="1" x14ac:dyDescent="0.25">
      <c r="A10369" s="3"/>
      <c r="F10369" s="19"/>
      <c r="G10369" s="19"/>
      <c r="N10369" s="19"/>
      <c r="P10369" s="19"/>
      <c r="AL10369" s="19"/>
    </row>
    <row r="10370" spans="1:38" s="11" customFormat="1" x14ac:dyDescent="0.25">
      <c r="A10370" s="3"/>
      <c r="F10370" s="19"/>
      <c r="G10370" s="19"/>
      <c r="N10370" s="19"/>
      <c r="P10370" s="19"/>
      <c r="AL10370" s="19"/>
    </row>
    <row r="10371" spans="1:38" s="11" customFormat="1" x14ac:dyDescent="0.25">
      <c r="A10371" s="3"/>
      <c r="F10371" s="19"/>
      <c r="G10371" s="19"/>
      <c r="N10371" s="19"/>
      <c r="P10371" s="19"/>
      <c r="AL10371" s="19"/>
    </row>
    <row r="10372" spans="1:38" s="11" customFormat="1" x14ac:dyDescent="0.25">
      <c r="A10372" s="3"/>
      <c r="F10372" s="19"/>
      <c r="G10372" s="19"/>
      <c r="N10372" s="19"/>
      <c r="P10372" s="19"/>
      <c r="AL10372" s="19"/>
    </row>
    <row r="10373" spans="1:38" s="11" customFormat="1" x14ac:dyDescent="0.25">
      <c r="A10373" s="3"/>
      <c r="F10373" s="19"/>
      <c r="G10373" s="19"/>
      <c r="N10373" s="19"/>
      <c r="P10373" s="19"/>
      <c r="AL10373" s="19"/>
    </row>
    <row r="10374" spans="1:38" s="11" customFormat="1" x14ac:dyDescent="0.25">
      <c r="A10374" s="3"/>
      <c r="F10374" s="19"/>
      <c r="G10374" s="19"/>
      <c r="N10374" s="19"/>
      <c r="P10374" s="19"/>
      <c r="AL10374" s="19"/>
    </row>
    <row r="10375" spans="1:38" s="11" customFormat="1" x14ac:dyDescent="0.25">
      <c r="A10375" s="3"/>
      <c r="F10375" s="19"/>
      <c r="G10375" s="19"/>
      <c r="N10375" s="19"/>
      <c r="P10375" s="19"/>
      <c r="AL10375" s="19"/>
    </row>
    <row r="10376" spans="1:38" s="11" customFormat="1" x14ac:dyDescent="0.25">
      <c r="A10376" s="3"/>
      <c r="F10376" s="19"/>
      <c r="G10376" s="19"/>
      <c r="N10376" s="19"/>
      <c r="P10376" s="19"/>
      <c r="AL10376" s="19"/>
    </row>
    <row r="10377" spans="1:38" s="11" customFormat="1" x14ac:dyDescent="0.25">
      <c r="A10377" s="3"/>
      <c r="F10377" s="19"/>
      <c r="G10377" s="19"/>
      <c r="N10377" s="19"/>
      <c r="P10377" s="19"/>
      <c r="AL10377" s="19"/>
    </row>
    <row r="10378" spans="1:38" s="11" customFormat="1" x14ac:dyDescent="0.25">
      <c r="A10378" s="3"/>
      <c r="F10378" s="19"/>
      <c r="G10378" s="19"/>
      <c r="N10378" s="19"/>
      <c r="P10378" s="19"/>
      <c r="AL10378" s="19"/>
    </row>
    <row r="10379" spans="1:38" s="11" customFormat="1" x14ac:dyDescent="0.25">
      <c r="A10379" s="3"/>
      <c r="F10379" s="19"/>
      <c r="G10379" s="19"/>
      <c r="N10379" s="19"/>
      <c r="P10379" s="19"/>
      <c r="AL10379" s="19"/>
    </row>
    <row r="10380" spans="1:38" s="11" customFormat="1" x14ac:dyDescent="0.25">
      <c r="A10380" s="3"/>
      <c r="F10380" s="19"/>
      <c r="G10380" s="19"/>
      <c r="N10380" s="19"/>
      <c r="P10380" s="19"/>
      <c r="AL10380" s="19"/>
    </row>
    <row r="10381" spans="1:38" s="11" customFormat="1" x14ac:dyDescent="0.25">
      <c r="A10381" s="3"/>
      <c r="F10381" s="19"/>
      <c r="G10381" s="19"/>
      <c r="N10381" s="19"/>
      <c r="P10381" s="19"/>
      <c r="AL10381" s="19"/>
    </row>
    <row r="10382" spans="1:38" s="11" customFormat="1" x14ac:dyDescent="0.25">
      <c r="A10382" s="3"/>
      <c r="F10382" s="19"/>
      <c r="G10382" s="19"/>
      <c r="N10382" s="19"/>
      <c r="P10382" s="19"/>
      <c r="AL10382" s="19"/>
    </row>
    <row r="10383" spans="1:38" s="11" customFormat="1" x14ac:dyDescent="0.25">
      <c r="A10383" s="3"/>
      <c r="F10383" s="19"/>
      <c r="G10383" s="19"/>
      <c r="N10383" s="19"/>
      <c r="P10383" s="19"/>
      <c r="AL10383" s="19"/>
    </row>
    <row r="10384" spans="1:38" s="11" customFormat="1" x14ac:dyDescent="0.25">
      <c r="A10384" s="3"/>
      <c r="F10384" s="19"/>
      <c r="G10384" s="19"/>
      <c r="N10384" s="19"/>
      <c r="P10384" s="19"/>
      <c r="AL10384" s="19"/>
    </row>
    <row r="10385" spans="1:38" s="11" customFormat="1" x14ac:dyDescent="0.25">
      <c r="A10385" s="3"/>
      <c r="F10385" s="19"/>
      <c r="G10385" s="19"/>
      <c r="N10385" s="19"/>
      <c r="P10385" s="19"/>
      <c r="AL10385" s="19"/>
    </row>
    <row r="10386" spans="1:38" s="11" customFormat="1" x14ac:dyDescent="0.25">
      <c r="A10386" s="3"/>
      <c r="F10386" s="19"/>
      <c r="G10386" s="19"/>
      <c r="N10386" s="19"/>
      <c r="P10386" s="19"/>
      <c r="AL10386" s="19"/>
    </row>
    <row r="10387" spans="1:38" s="11" customFormat="1" x14ac:dyDescent="0.25">
      <c r="A10387" s="3"/>
      <c r="F10387" s="19"/>
      <c r="G10387" s="19"/>
      <c r="N10387" s="19"/>
      <c r="P10387" s="19"/>
      <c r="AL10387" s="19"/>
    </row>
    <row r="10388" spans="1:38" s="11" customFormat="1" x14ac:dyDescent="0.25">
      <c r="A10388" s="3"/>
      <c r="F10388" s="19"/>
      <c r="G10388" s="19"/>
      <c r="N10388" s="19"/>
      <c r="P10388" s="19"/>
      <c r="AL10388" s="19"/>
    </row>
    <row r="10389" spans="1:38" s="11" customFormat="1" x14ac:dyDescent="0.25">
      <c r="A10389" s="3"/>
      <c r="F10389" s="19"/>
      <c r="G10389" s="19"/>
      <c r="N10389" s="19"/>
      <c r="P10389" s="19"/>
      <c r="AL10389" s="19"/>
    </row>
    <row r="10390" spans="1:38" s="11" customFormat="1" x14ac:dyDescent="0.25">
      <c r="A10390" s="3"/>
      <c r="F10390" s="19"/>
      <c r="G10390" s="19"/>
      <c r="N10390" s="19"/>
      <c r="P10390" s="19"/>
      <c r="AL10390" s="19"/>
    </row>
    <row r="10391" spans="1:38" s="11" customFormat="1" x14ac:dyDescent="0.25">
      <c r="A10391" s="3"/>
      <c r="F10391" s="19"/>
      <c r="G10391" s="19"/>
      <c r="N10391" s="19"/>
      <c r="P10391" s="19"/>
      <c r="AL10391" s="19"/>
    </row>
    <row r="10392" spans="1:38" s="11" customFormat="1" x14ac:dyDescent="0.25">
      <c r="A10392" s="3"/>
      <c r="F10392" s="19"/>
      <c r="G10392" s="19"/>
      <c r="N10392" s="19"/>
      <c r="P10392" s="19"/>
      <c r="AL10392" s="19"/>
    </row>
    <row r="10393" spans="1:38" s="11" customFormat="1" x14ac:dyDescent="0.25">
      <c r="A10393" s="3"/>
      <c r="F10393" s="19"/>
      <c r="G10393" s="19"/>
      <c r="N10393" s="19"/>
      <c r="P10393" s="19"/>
      <c r="AL10393" s="19"/>
    </row>
    <row r="10394" spans="1:38" s="11" customFormat="1" x14ac:dyDescent="0.25">
      <c r="A10394" s="3"/>
      <c r="F10394" s="19"/>
      <c r="G10394" s="19"/>
      <c r="N10394" s="19"/>
      <c r="P10394" s="19"/>
      <c r="AL10394" s="19"/>
    </row>
    <row r="10395" spans="1:38" s="11" customFormat="1" x14ac:dyDescent="0.25">
      <c r="A10395" s="3"/>
      <c r="F10395" s="19"/>
      <c r="G10395" s="19"/>
      <c r="N10395" s="19"/>
      <c r="P10395" s="19"/>
      <c r="AL10395" s="19"/>
    </row>
    <row r="10396" spans="1:38" s="11" customFormat="1" x14ac:dyDescent="0.25">
      <c r="A10396" s="3"/>
      <c r="F10396" s="19"/>
      <c r="G10396" s="19"/>
      <c r="N10396" s="19"/>
      <c r="P10396" s="19"/>
      <c r="AL10396" s="19"/>
    </row>
    <row r="10397" spans="1:38" s="11" customFormat="1" x14ac:dyDescent="0.25">
      <c r="A10397" s="3"/>
      <c r="F10397" s="19"/>
      <c r="G10397" s="19"/>
      <c r="N10397" s="19"/>
      <c r="P10397" s="19"/>
      <c r="AL10397" s="19"/>
    </row>
    <row r="10398" spans="1:38" s="11" customFormat="1" x14ac:dyDescent="0.25">
      <c r="A10398" s="3"/>
      <c r="F10398" s="19"/>
      <c r="G10398" s="19"/>
      <c r="N10398" s="19"/>
      <c r="P10398" s="19"/>
      <c r="AL10398" s="19"/>
    </row>
    <row r="10399" spans="1:38" s="11" customFormat="1" x14ac:dyDescent="0.25">
      <c r="A10399" s="3"/>
      <c r="F10399" s="19"/>
      <c r="G10399" s="19"/>
      <c r="N10399" s="19"/>
      <c r="P10399" s="19"/>
      <c r="AL10399" s="19"/>
    </row>
    <row r="10400" spans="1:38" s="11" customFormat="1" x14ac:dyDescent="0.25">
      <c r="A10400" s="3"/>
      <c r="F10400" s="19"/>
      <c r="G10400" s="19"/>
      <c r="N10400" s="19"/>
      <c r="P10400" s="19"/>
      <c r="AL10400" s="19"/>
    </row>
    <row r="10401" spans="1:38" s="11" customFormat="1" x14ac:dyDescent="0.25">
      <c r="A10401" s="3"/>
      <c r="F10401" s="19"/>
      <c r="G10401" s="19"/>
      <c r="N10401" s="19"/>
      <c r="P10401" s="19"/>
      <c r="AL10401" s="19"/>
    </row>
    <row r="10402" spans="1:38" s="11" customFormat="1" x14ac:dyDescent="0.25">
      <c r="A10402" s="3"/>
      <c r="F10402" s="19"/>
      <c r="G10402" s="19"/>
      <c r="N10402" s="19"/>
      <c r="P10402" s="19"/>
      <c r="AL10402" s="19"/>
    </row>
    <row r="10403" spans="1:38" s="11" customFormat="1" x14ac:dyDescent="0.25">
      <c r="A10403" s="3"/>
      <c r="F10403" s="19"/>
      <c r="G10403" s="19"/>
      <c r="N10403" s="19"/>
      <c r="P10403" s="19"/>
      <c r="AL10403" s="19"/>
    </row>
    <row r="10404" spans="1:38" s="11" customFormat="1" x14ac:dyDescent="0.25">
      <c r="A10404" s="3"/>
      <c r="F10404" s="19"/>
      <c r="G10404" s="19"/>
      <c r="N10404" s="19"/>
      <c r="P10404" s="19"/>
      <c r="AL10404" s="19"/>
    </row>
    <row r="10405" spans="1:38" s="11" customFormat="1" x14ac:dyDescent="0.25">
      <c r="A10405" s="3"/>
      <c r="F10405" s="19"/>
      <c r="G10405" s="19"/>
      <c r="N10405" s="19"/>
      <c r="P10405" s="19"/>
      <c r="AL10405" s="19"/>
    </row>
    <row r="10406" spans="1:38" s="11" customFormat="1" x14ac:dyDescent="0.25">
      <c r="A10406" s="3"/>
      <c r="F10406" s="19"/>
      <c r="G10406" s="19"/>
      <c r="N10406" s="19"/>
      <c r="P10406" s="19"/>
      <c r="AL10406" s="19"/>
    </row>
    <row r="10407" spans="1:38" s="11" customFormat="1" x14ac:dyDescent="0.25">
      <c r="A10407" s="3"/>
      <c r="F10407" s="19"/>
      <c r="G10407" s="19"/>
      <c r="N10407" s="19"/>
      <c r="P10407" s="19"/>
      <c r="AL10407" s="19"/>
    </row>
    <row r="10408" spans="1:38" s="11" customFormat="1" x14ac:dyDescent="0.25">
      <c r="A10408" s="3"/>
      <c r="F10408" s="19"/>
      <c r="G10408" s="19"/>
      <c r="N10408" s="19"/>
      <c r="P10408" s="19"/>
      <c r="AL10408" s="19"/>
    </row>
    <row r="10409" spans="1:38" s="11" customFormat="1" x14ac:dyDescent="0.25">
      <c r="A10409" s="3"/>
      <c r="F10409" s="19"/>
      <c r="G10409" s="19"/>
      <c r="N10409" s="19"/>
      <c r="P10409" s="19"/>
      <c r="AL10409" s="19"/>
    </row>
    <row r="10410" spans="1:38" s="11" customFormat="1" x14ac:dyDescent="0.25">
      <c r="A10410" s="3"/>
      <c r="F10410" s="19"/>
      <c r="G10410" s="19"/>
      <c r="N10410" s="19"/>
      <c r="P10410" s="19"/>
      <c r="AL10410" s="19"/>
    </row>
    <row r="10411" spans="1:38" s="11" customFormat="1" x14ac:dyDescent="0.25">
      <c r="A10411" s="3"/>
      <c r="F10411" s="19"/>
      <c r="G10411" s="19"/>
      <c r="N10411" s="19"/>
      <c r="P10411" s="19"/>
      <c r="AL10411" s="19"/>
    </row>
    <row r="10412" spans="1:38" s="11" customFormat="1" x14ac:dyDescent="0.25">
      <c r="A10412" s="3"/>
      <c r="F10412" s="19"/>
      <c r="G10412" s="19"/>
      <c r="N10412" s="19"/>
      <c r="P10412" s="19"/>
      <c r="AL10412" s="19"/>
    </row>
    <row r="10413" spans="1:38" s="11" customFormat="1" x14ac:dyDescent="0.25">
      <c r="A10413" s="3"/>
      <c r="F10413" s="19"/>
      <c r="G10413" s="19"/>
      <c r="N10413" s="19"/>
      <c r="P10413" s="19"/>
      <c r="AL10413" s="19"/>
    </row>
    <row r="10414" spans="1:38" s="11" customFormat="1" x14ac:dyDescent="0.25">
      <c r="A10414" s="3"/>
      <c r="F10414" s="19"/>
      <c r="G10414" s="19"/>
      <c r="N10414" s="19"/>
      <c r="P10414" s="19"/>
      <c r="AL10414" s="19"/>
    </row>
    <row r="10415" spans="1:38" s="11" customFormat="1" x14ac:dyDescent="0.25">
      <c r="A10415" s="3"/>
      <c r="F10415" s="19"/>
      <c r="G10415" s="19"/>
      <c r="N10415" s="19"/>
      <c r="P10415" s="19"/>
      <c r="AL10415" s="19"/>
    </row>
    <row r="10416" spans="1:38" s="11" customFormat="1" x14ac:dyDescent="0.25">
      <c r="A10416" s="3"/>
      <c r="F10416" s="19"/>
      <c r="G10416" s="19"/>
      <c r="N10416" s="19"/>
      <c r="P10416" s="19"/>
      <c r="AL10416" s="19"/>
    </row>
    <row r="10417" spans="1:38" s="11" customFormat="1" x14ac:dyDescent="0.25">
      <c r="A10417" s="3"/>
      <c r="F10417" s="19"/>
      <c r="G10417" s="19"/>
      <c r="N10417" s="19"/>
      <c r="P10417" s="19"/>
      <c r="AL10417" s="19"/>
    </row>
    <row r="10418" spans="1:38" s="11" customFormat="1" x14ac:dyDescent="0.25">
      <c r="A10418" s="3"/>
      <c r="F10418" s="19"/>
      <c r="G10418" s="19"/>
      <c r="N10418" s="19"/>
      <c r="P10418" s="19"/>
      <c r="AL10418" s="19"/>
    </row>
    <row r="10419" spans="1:38" s="11" customFormat="1" x14ac:dyDescent="0.25">
      <c r="A10419" s="3"/>
      <c r="F10419" s="19"/>
      <c r="G10419" s="19"/>
      <c r="N10419" s="19"/>
      <c r="P10419" s="19"/>
      <c r="AL10419" s="19"/>
    </row>
    <row r="10420" spans="1:38" s="11" customFormat="1" x14ac:dyDescent="0.25">
      <c r="A10420" s="3"/>
      <c r="F10420" s="19"/>
      <c r="G10420" s="19"/>
      <c r="N10420" s="19"/>
      <c r="P10420" s="19"/>
      <c r="AL10420" s="19"/>
    </row>
    <row r="10421" spans="1:38" s="11" customFormat="1" x14ac:dyDescent="0.25">
      <c r="A10421" s="3"/>
      <c r="F10421" s="19"/>
      <c r="G10421" s="19"/>
      <c r="N10421" s="19"/>
      <c r="P10421" s="19"/>
      <c r="AL10421" s="19"/>
    </row>
    <row r="10422" spans="1:38" s="11" customFormat="1" x14ac:dyDescent="0.25">
      <c r="A10422" s="3"/>
      <c r="F10422" s="19"/>
      <c r="G10422" s="19"/>
      <c r="N10422" s="19"/>
      <c r="P10422" s="19"/>
      <c r="AL10422" s="19"/>
    </row>
    <row r="10423" spans="1:38" s="11" customFormat="1" x14ac:dyDescent="0.25">
      <c r="A10423" s="3"/>
      <c r="F10423" s="19"/>
      <c r="G10423" s="19"/>
      <c r="N10423" s="19"/>
      <c r="P10423" s="19"/>
      <c r="AL10423" s="19"/>
    </row>
    <row r="10424" spans="1:38" s="11" customFormat="1" x14ac:dyDescent="0.25">
      <c r="A10424" s="3"/>
      <c r="F10424" s="19"/>
      <c r="G10424" s="19"/>
      <c r="N10424" s="19"/>
      <c r="P10424" s="19"/>
      <c r="AL10424" s="19"/>
    </row>
    <row r="10425" spans="1:38" s="11" customFormat="1" x14ac:dyDescent="0.25">
      <c r="A10425" s="3"/>
      <c r="F10425" s="19"/>
      <c r="G10425" s="19"/>
      <c r="N10425" s="19"/>
      <c r="P10425" s="19"/>
      <c r="AL10425" s="19"/>
    </row>
    <row r="10426" spans="1:38" s="11" customFormat="1" x14ac:dyDescent="0.25">
      <c r="A10426" s="3"/>
      <c r="F10426" s="19"/>
      <c r="G10426" s="19"/>
      <c r="N10426" s="19"/>
      <c r="P10426" s="19"/>
      <c r="AL10426" s="19"/>
    </row>
    <row r="10427" spans="1:38" s="11" customFormat="1" x14ac:dyDescent="0.25">
      <c r="A10427" s="3"/>
      <c r="F10427" s="19"/>
      <c r="G10427" s="19"/>
      <c r="N10427" s="19"/>
      <c r="P10427" s="19"/>
      <c r="AL10427" s="19"/>
    </row>
    <row r="10428" spans="1:38" s="11" customFormat="1" x14ac:dyDescent="0.25">
      <c r="A10428" s="3"/>
      <c r="F10428" s="19"/>
      <c r="G10428" s="19"/>
      <c r="N10428" s="19"/>
      <c r="P10428" s="19"/>
      <c r="AL10428" s="19"/>
    </row>
    <row r="10429" spans="1:38" s="11" customFormat="1" x14ac:dyDescent="0.25">
      <c r="A10429" s="3"/>
      <c r="F10429" s="19"/>
      <c r="G10429" s="19"/>
      <c r="N10429" s="19"/>
      <c r="P10429" s="19"/>
      <c r="AL10429" s="19"/>
    </row>
    <row r="10430" spans="1:38" s="11" customFormat="1" x14ac:dyDescent="0.25">
      <c r="A10430" s="3"/>
      <c r="F10430" s="19"/>
      <c r="G10430" s="19"/>
      <c r="N10430" s="19"/>
      <c r="P10430" s="19"/>
      <c r="AL10430" s="19"/>
    </row>
    <row r="10431" spans="1:38" s="11" customFormat="1" x14ac:dyDescent="0.25">
      <c r="A10431" s="3"/>
      <c r="F10431" s="19"/>
      <c r="G10431" s="19"/>
      <c r="N10431" s="19"/>
      <c r="P10431" s="19"/>
      <c r="AL10431" s="19"/>
    </row>
    <row r="10432" spans="1:38" s="11" customFormat="1" x14ac:dyDescent="0.25">
      <c r="A10432" s="3"/>
      <c r="F10432" s="19"/>
      <c r="G10432" s="19"/>
      <c r="N10432" s="19"/>
      <c r="P10432" s="19"/>
      <c r="AL10432" s="19"/>
    </row>
    <row r="10433" spans="1:38" s="11" customFormat="1" x14ac:dyDescent="0.25">
      <c r="A10433" s="3"/>
      <c r="F10433" s="19"/>
      <c r="G10433" s="19"/>
      <c r="N10433" s="19"/>
      <c r="P10433" s="19"/>
      <c r="AL10433" s="19"/>
    </row>
    <row r="10434" spans="1:38" s="11" customFormat="1" x14ac:dyDescent="0.25">
      <c r="A10434" s="3"/>
      <c r="F10434" s="19"/>
      <c r="G10434" s="19"/>
      <c r="N10434" s="19"/>
      <c r="P10434" s="19"/>
      <c r="AL10434" s="19"/>
    </row>
    <row r="10435" spans="1:38" s="11" customFormat="1" x14ac:dyDescent="0.25">
      <c r="A10435" s="3"/>
      <c r="F10435" s="19"/>
      <c r="G10435" s="19"/>
      <c r="N10435" s="19"/>
      <c r="P10435" s="19"/>
      <c r="AL10435" s="19"/>
    </row>
    <row r="10436" spans="1:38" s="11" customFormat="1" x14ac:dyDescent="0.25">
      <c r="A10436" s="3"/>
      <c r="F10436" s="19"/>
      <c r="G10436" s="19"/>
      <c r="N10436" s="19"/>
      <c r="P10436" s="19"/>
      <c r="AL10436" s="19"/>
    </row>
    <row r="10437" spans="1:38" s="11" customFormat="1" x14ac:dyDescent="0.25">
      <c r="A10437" s="3"/>
      <c r="F10437" s="19"/>
      <c r="G10437" s="19"/>
      <c r="N10437" s="19"/>
      <c r="P10437" s="19"/>
      <c r="AL10437" s="19"/>
    </row>
    <row r="10438" spans="1:38" s="11" customFormat="1" x14ac:dyDescent="0.25">
      <c r="A10438" s="3"/>
      <c r="F10438" s="19"/>
      <c r="G10438" s="19"/>
      <c r="N10438" s="19"/>
      <c r="P10438" s="19"/>
      <c r="AL10438" s="19"/>
    </row>
    <row r="10439" spans="1:38" s="11" customFormat="1" x14ac:dyDescent="0.25">
      <c r="A10439" s="3"/>
      <c r="F10439" s="19"/>
      <c r="G10439" s="19"/>
      <c r="N10439" s="19"/>
      <c r="P10439" s="19"/>
      <c r="AL10439" s="19"/>
    </row>
    <row r="10440" spans="1:38" s="11" customFormat="1" x14ac:dyDescent="0.25">
      <c r="A10440" s="3"/>
      <c r="F10440" s="19"/>
      <c r="G10440" s="19"/>
      <c r="N10440" s="19"/>
      <c r="P10440" s="19"/>
      <c r="AL10440" s="19"/>
    </row>
    <row r="10441" spans="1:38" s="11" customFormat="1" x14ac:dyDescent="0.25">
      <c r="A10441" s="3"/>
      <c r="F10441" s="19"/>
      <c r="G10441" s="19"/>
      <c r="N10441" s="19"/>
      <c r="P10441" s="19"/>
      <c r="AL10441" s="19"/>
    </row>
    <row r="10442" spans="1:38" s="11" customFormat="1" x14ac:dyDescent="0.25">
      <c r="A10442" s="3"/>
      <c r="F10442" s="19"/>
      <c r="G10442" s="19"/>
      <c r="N10442" s="19"/>
      <c r="P10442" s="19"/>
      <c r="AL10442" s="19"/>
    </row>
    <row r="10443" spans="1:38" s="11" customFormat="1" x14ac:dyDescent="0.25">
      <c r="A10443" s="3"/>
      <c r="F10443" s="19"/>
      <c r="G10443" s="19"/>
      <c r="N10443" s="19"/>
      <c r="P10443" s="19"/>
      <c r="AL10443" s="19"/>
    </row>
    <row r="10444" spans="1:38" s="11" customFormat="1" x14ac:dyDescent="0.25">
      <c r="A10444" s="3"/>
      <c r="F10444" s="19"/>
      <c r="G10444" s="19"/>
      <c r="N10444" s="19"/>
      <c r="P10444" s="19"/>
      <c r="AL10444" s="19"/>
    </row>
    <row r="10445" spans="1:38" s="11" customFormat="1" x14ac:dyDescent="0.25">
      <c r="A10445" s="3"/>
      <c r="F10445" s="19"/>
      <c r="G10445" s="19"/>
      <c r="N10445" s="19"/>
      <c r="P10445" s="19"/>
      <c r="AL10445" s="19"/>
    </row>
    <row r="10446" spans="1:38" s="11" customFormat="1" x14ac:dyDescent="0.25">
      <c r="A10446" s="3"/>
      <c r="F10446" s="19"/>
      <c r="G10446" s="19"/>
      <c r="N10446" s="19"/>
      <c r="P10446" s="19"/>
      <c r="AL10446" s="19"/>
    </row>
    <row r="10447" spans="1:38" s="11" customFormat="1" x14ac:dyDescent="0.25">
      <c r="A10447" s="3"/>
      <c r="F10447" s="19"/>
      <c r="G10447" s="19"/>
      <c r="N10447" s="19"/>
      <c r="P10447" s="19"/>
      <c r="AL10447" s="19"/>
    </row>
    <row r="10448" spans="1:38" s="11" customFormat="1" x14ac:dyDescent="0.25">
      <c r="A10448" s="3"/>
      <c r="F10448" s="19"/>
      <c r="G10448" s="19"/>
      <c r="N10448" s="19"/>
      <c r="P10448" s="19"/>
      <c r="AL10448" s="19"/>
    </row>
    <row r="10449" spans="1:38" s="11" customFormat="1" x14ac:dyDescent="0.25">
      <c r="A10449" s="3"/>
      <c r="F10449" s="19"/>
      <c r="G10449" s="19"/>
      <c r="N10449" s="19"/>
      <c r="P10449" s="19"/>
      <c r="AL10449" s="19"/>
    </row>
    <row r="10450" spans="1:38" s="11" customFormat="1" x14ac:dyDescent="0.25">
      <c r="A10450" s="3"/>
      <c r="F10450" s="19"/>
      <c r="G10450" s="19"/>
      <c r="N10450" s="19"/>
      <c r="P10450" s="19"/>
      <c r="AL10450" s="19"/>
    </row>
    <row r="10451" spans="1:38" s="11" customFormat="1" x14ac:dyDescent="0.25">
      <c r="A10451" s="3"/>
      <c r="F10451" s="19"/>
      <c r="G10451" s="19"/>
      <c r="N10451" s="19"/>
      <c r="P10451" s="19"/>
      <c r="AL10451" s="19"/>
    </row>
    <row r="10452" spans="1:38" s="11" customFormat="1" x14ac:dyDescent="0.25">
      <c r="A10452" s="3"/>
      <c r="F10452" s="19"/>
      <c r="G10452" s="19"/>
      <c r="N10452" s="19"/>
      <c r="P10452" s="19"/>
      <c r="AL10452" s="19"/>
    </row>
    <row r="10453" spans="1:38" s="11" customFormat="1" x14ac:dyDescent="0.25">
      <c r="A10453" s="3"/>
      <c r="F10453" s="19"/>
      <c r="G10453" s="19"/>
      <c r="N10453" s="19"/>
      <c r="P10453" s="19"/>
      <c r="AL10453" s="19"/>
    </row>
    <row r="10454" spans="1:38" s="11" customFormat="1" x14ac:dyDescent="0.25">
      <c r="A10454" s="3"/>
      <c r="F10454" s="19"/>
      <c r="G10454" s="19"/>
      <c r="N10454" s="19"/>
      <c r="P10454" s="19"/>
      <c r="AL10454" s="19"/>
    </row>
    <row r="10455" spans="1:38" s="11" customFormat="1" x14ac:dyDescent="0.25">
      <c r="A10455" s="3"/>
      <c r="F10455" s="19"/>
      <c r="G10455" s="19"/>
      <c r="N10455" s="19"/>
      <c r="P10455" s="19"/>
      <c r="AL10455" s="19"/>
    </row>
    <row r="10456" spans="1:38" s="11" customFormat="1" x14ac:dyDescent="0.25">
      <c r="A10456" s="3"/>
      <c r="F10456" s="19"/>
      <c r="G10456" s="19"/>
      <c r="N10456" s="19"/>
      <c r="P10456" s="19"/>
      <c r="AL10456" s="19"/>
    </row>
    <row r="10457" spans="1:38" s="11" customFormat="1" x14ac:dyDescent="0.25">
      <c r="A10457" s="3"/>
      <c r="F10457" s="19"/>
      <c r="G10457" s="19"/>
      <c r="N10457" s="19"/>
      <c r="P10457" s="19"/>
      <c r="AL10457" s="19"/>
    </row>
    <row r="10458" spans="1:38" s="11" customFormat="1" x14ac:dyDescent="0.25">
      <c r="A10458" s="3"/>
      <c r="F10458" s="19"/>
      <c r="G10458" s="19"/>
      <c r="N10458" s="19"/>
      <c r="P10458" s="19"/>
      <c r="AL10458" s="19"/>
    </row>
    <row r="10459" spans="1:38" s="11" customFormat="1" x14ac:dyDescent="0.25">
      <c r="A10459" s="3"/>
      <c r="F10459" s="19"/>
      <c r="G10459" s="19"/>
      <c r="N10459" s="19"/>
      <c r="P10459" s="19"/>
      <c r="AL10459" s="19"/>
    </row>
    <row r="10460" spans="1:38" s="11" customFormat="1" x14ac:dyDescent="0.25">
      <c r="A10460" s="3"/>
      <c r="F10460" s="19"/>
      <c r="G10460" s="19"/>
      <c r="N10460" s="19"/>
      <c r="P10460" s="19"/>
      <c r="AL10460" s="19"/>
    </row>
    <row r="10461" spans="1:38" s="11" customFormat="1" x14ac:dyDescent="0.25">
      <c r="A10461" s="3"/>
      <c r="F10461" s="19"/>
      <c r="G10461" s="19"/>
      <c r="N10461" s="19"/>
      <c r="P10461" s="19"/>
      <c r="AL10461" s="19"/>
    </row>
    <row r="10462" spans="1:38" s="11" customFormat="1" x14ac:dyDescent="0.25">
      <c r="A10462" s="3"/>
      <c r="F10462" s="19"/>
      <c r="G10462" s="19"/>
      <c r="N10462" s="19"/>
      <c r="P10462" s="19"/>
      <c r="AL10462" s="19"/>
    </row>
    <row r="10463" spans="1:38" s="11" customFormat="1" x14ac:dyDescent="0.25">
      <c r="A10463" s="3"/>
      <c r="F10463" s="19"/>
      <c r="G10463" s="19"/>
      <c r="N10463" s="19"/>
      <c r="P10463" s="19"/>
      <c r="AL10463" s="19"/>
    </row>
    <row r="10464" spans="1:38" s="11" customFormat="1" x14ac:dyDescent="0.25">
      <c r="A10464" s="3"/>
      <c r="F10464" s="19"/>
      <c r="G10464" s="19"/>
      <c r="N10464" s="19"/>
      <c r="P10464" s="19"/>
      <c r="AL10464" s="19"/>
    </row>
    <row r="10465" spans="1:38" s="11" customFormat="1" x14ac:dyDescent="0.25">
      <c r="A10465" s="3"/>
      <c r="F10465" s="19"/>
      <c r="G10465" s="19"/>
      <c r="N10465" s="19"/>
      <c r="P10465" s="19"/>
      <c r="AL10465" s="19"/>
    </row>
    <row r="10466" spans="1:38" s="11" customFormat="1" x14ac:dyDescent="0.25">
      <c r="A10466" s="3"/>
      <c r="F10466" s="19"/>
      <c r="G10466" s="19"/>
      <c r="N10466" s="19"/>
      <c r="P10466" s="19"/>
      <c r="AL10466" s="19"/>
    </row>
    <row r="10467" spans="1:38" s="11" customFormat="1" x14ac:dyDescent="0.25">
      <c r="A10467" s="3"/>
      <c r="F10467" s="19"/>
      <c r="G10467" s="19"/>
      <c r="N10467" s="19"/>
      <c r="P10467" s="19"/>
      <c r="AL10467" s="19"/>
    </row>
    <row r="10468" spans="1:38" s="11" customFormat="1" x14ac:dyDescent="0.25">
      <c r="A10468" s="3"/>
      <c r="F10468" s="19"/>
      <c r="G10468" s="19"/>
      <c r="N10468" s="19"/>
      <c r="P10468" s="19"/>
      <c r="AL10468" s="19"/>
    </row>
    <row r="10469" spans="1:38" s="11" customFormat="1" x14ac:dyDescent="0.25">
      <c r="A10469" s="3"/>
      <c r="F10469" s="19"/>
      <c r="G10469" s="19"/>
      <c r="N10469" s="19"/>
      <c r="P10469" s="19"/>
      <c r="AL10469" s="19"/>
    </row>
    <row r="10470" spans="1:38" s="11" customFormat="1" x14ac:dyDescent="0.25">
      <c r="A10470" s="3"/>
      <c r="F10470" s="19"/>
      <c r="G10470" s="19"/>
      <c r="N10470" s="19"/>
      <c r="P10470" s="19"/>
      <c r="AL10470" s="19"/>
    </row>
    <row r="10471" spans="1:38" s="11" customFormat="1" x14ac:dyDescent="0.25">
      <c r="A10471" s="3"/>
      <c r="F10471" s="19"/>
      <c r="G10471" s="19"/>
      <c r="N10471" s="19"/>
      <c r="P10471" s="19"/>
      <c r="AL10471" s="19"/>
    </row>
    <row r="10472" spans="1:38" s="11" customFormat="1" x14ac:dyDescent="0.25">
      <c r="A10472" s="3"/>
      <c r="F10472" s="19"/>
      <c r="G10472" s="19"/>
      <c r="N10472" s="19"/>
      <c r="P10472" s="19"/>
      <c r="AL10472" s="19"/>
    </row>
    <row r="10473" spans="1:38" s="11" customFormat="1" x14ac:dyDescent="0.25">
      <c r="A10473" s="3"/>
      <c r="F10473" s="19"/>
      <c r="G10473" s="19"/>
      <c r="N10473" s="19"/>
      <c r="P10473" s="19"/>
      <c r="AL10473" s="19"/>
    </row>
    <row r="10474" spans="1:38" s="11" customFormat="1" x14ac:dyDescent="0.25">
      <c r="A10474" s="3"/>
      <c r="F10474" s="19"/>
      <c r="G10474" s="19"/>
      <c r="N10474" s="19"/>
      <c r="P10474" s="19"/>
      <c r="AL10474" s="19"/>
    </row>
    <row r="10475" spans="1:38" s="11" customFormat="1" x14ac:dyDescent="0.25">
      <c r="A10475" s="3"/>
      <c r="F10475" s="19"/>
      <c r="G10475" s="19"/>
      <c r="N10475" s="19"/>
      <c r="P10475" s="19"/>
      <c r="AL10475" s="19"/>
    </row>
    <row r="10476" spans="1:38" s="11" customFormat="1" x14ac:dyDescent="0.25">
      <c r="A10476" s="3"/>
      <c r="F10476" s="19"/>
      <c r="G10476" s="19"/>
      <c r="N10476" s="19"/>
      <c r="P10476" s="19"/>
      <c r="AL10476" s="19"/>
    </row>
    <row r="10477" spans="1:38" s="11" customFormat="1" x14ac:dyDescent="0.25">
      <c r="A10477" s="3"/>
      <c r="F10477" s="19"/>
      <c r="G10477" s="19"/>
      <c r="N10477" s="19"/>
      <c r="P10477" s="19"/>
      <c r="AL10477" s="19"/>
    </row>
    <row r="10478" spans="1:38" s="11" customFormat="1" x14ac:dyDescent="0.25">
      <c r="A10478" s="3"/>
      <c r="F10478" s="19"/>
      <c r="G10478" s="19"/>
      <c r="N10478" s="19"/>
      <c r="P10478" s="19"/>
      <c r="AL10478" s="19"/>
    </row>
    <row r="10479" spans="1:38" s="11" customFormat="1" x14ac:dyDescent="0.25">
      <c r="A10479" s="3"/>
      <c r="F10479" s="19"/>
      <c r="G10479" s="19"/>
      <c r="N10479" s="19"/>
      <c r="P10479" s="19"/>
      <c r="AL10479" s="19"/>
    </row>
    <row r="10480" spans="1:38" s="11" customFormat="1" x14ac:dyDescent="0.25">
      <c r="A10480" s="3"/>
      <c r="F10480" s="19"/>
      <c r="G10480" s="19"/>
      <c r="N10480" s="19"/>
      <c r="P10480" s="19"/>
      <c r="AL10480" s="19"/>
    </row>
    <row r="10481" spans="1:38" s="11" customFormat="1" x14ac:dyDescent="0.25">
      <c r="A10481" s="3"/>
      <c r="F10481" s="19"/>
      <c r="G10481" s="19"/>
      <c r="N10481" s="19"/>
      <c r="P10481" s="19"/>
      <c r="AL10481" s="19"/>
    </row>
    <row r="10482" spans="1:38" s="11" customFormat="1" x14ac:dyDescent="0.25">
      <c r="A10482" s="3"/>
      <c r="F10482" s="19"/>
      <c r="G10482" s="19"/>
      <c r="N10482" s="19"/>
      <c r="P10482" s="19"/>
      <c r="AL10482" s="19"/>
    </row>
    <row r="10483" spans="1:38" s="11" customFormat="1" x14ac:dyDescent="0.25">
      <c r="A10483" s="3"/>
      <c r="F10483" s="19"/>
      <c r="G10483" s="19"/>
      <c r="N10483" s="19"/>
      <c r="P10483" s="19"/>
      <c r="AL10483" s="19"/>
    </row>
    <row r="10484" spans="1:38" s="11" customFormat="1" x14ac:dyDescent="0.25">
      <c r="A10484" s="3"/>
      <c r="F10484" s="19"/>
      <c r="G10484" s="19"/>
      <c r="N10484" s="19"/>
      <c r="P10484" s="19"/>
      <c r="AL10484" s="19"/>
    </row>
    <row r="10485" spans="1:38" s="11" customFormat="1" x14ac:dyDescent="0.25">
      <c r="A10485" s="3"/>
      <c r="F10485" s="19"/>
      <c r="G10485" s="19"/>
      <c r="N10485" s="19"/>
      <c r="P10485" s="19"/>
      <c r="AL10485" s="19"/>
    </row>
    <row r="10486" spans="1:38" s="11" customFormat="1" x14ac:dyDescent="0.25">
      <c r="A10486" s="3"/>
      <c r="F10486" s="19"/>
      <c r="G10486" s="19"/>
      <c r="N10486" s="19"/>
      <c r="P10486" s="19"/>
      <c r="AL10486" s="19"/>
    </row>
    <row r="10487" spans="1:38" s="11" customFormat="1" x14ac:dyDescent="0.25">
      <c r="A10487" s="3"/>
      <c r="F10487" s="19"/>
      <c r="G10487" s="19"/>
      <c r="N10487" s="19"/>
      <c r="P10487" s="19"/>
      <c r="AL10487" s="19"/>
    </row>
    <row r="10488" spans="1:38" s="11" customFormat="1" x14ac:dyDescent="0.25">
      <c r="A10488" s="3"/>
      <c r="F10488" s="19"/>
      <c r="G10488" s="19"/>
      <c r="N10488" s="19"/>
      <c r="P10488" s="19"/>
      <c r="AL10488" s="19"/>
    </row>
    <row r="10489" spans="1:38" s="11" customFormat="1" x14ac:dyDescent="0.25">
      <c r="A10489" s="3"/>
      <c r="F10489" s="19"/>
      <c r="G10489" s="19"/>
      <c r="N10489" s="19"/>
      <c r="P10489" s="19"/>
      <c r="AL10489" s="19"/>
    </row>
    <row r="10490" spans="1:38" s="11" customFormat="1" x14ac:dyDescent="0.25">
      <c r="A10490" s="3"/>
      <c r="F10490" s="19"/>
      <c r="G10490" s="19"/>
      <c r="N10490" s="19"/>
      <c r="P10490" s="19"/>
      <c r="AL10490" s="19"/>
    </row>
    <row r="10491" spans="1:38" s="11" customFormat="1" x14ac:dyDescent="0.25">
      <c r="A10491" s="3"/>
      <c r="F10491" s="19"/>
      <c r="G10491" s="19"/>
      <c r="N10491" s="19"/>
      <c r="P10491" s="19"/>
      <c r="AL10491" s="19"/>
    </row>
    <row r="10492" spans="1:38" s="11" customFormat="1" x14ac:dyDescent="0.25">
      <c r="A10492" s="3"/>
      <c r="F10492" s="19"/>
      <c r="G10492" s="19"/>
      <c r="N10492" s="19"/>
      <c r="P10492" s="19"/>
      <c r="AL10492" s="19"/>
    </row>
    <row r="10493" spans="1:38" s="11" customFormat="1" x14ac:dyDescent="0.25">
      <c r="A10493" s="3"/>
      <c r="F10493" s="19"/>
      <c r="G10493" s="19"/>
      <c r="N10493" s="19"/>
      <c r="P10493" s="19"/>
      <c r="AL10493" s="19"/>
    </row>
    <row r="10494" spans="1:38" s="11" customFormat="1" x14ac:dyDescent="0.25">
      <c r="A10494" s="3"/>
      <c r="F10494" s="19"/>
      <c r="G10494" s="19"/>
      <c r="N10494" s="19"/>
      <c r="P10494" s="19"/>
      <c r="AL10494" s="19"/>
    </row>
    <row r="10495" spans="1:38" s="11" customFormat="1" x14ac:dyDescent="0.25">
      <c r="A10495" s="3"/>
      <c r="F10495" s="19"/>
      <c r="G10495" s="19"/>
      <c r="N10495" s="19"/>
      <c r="P10495" s="19"/>
      <c r="AL10495" s="19"/>
    </row>
    <row r="10496" spans="1:38" s="11" customFormat="1" x14ac:dyDescent="0.25">
      <c r="A10496" s="3"/>
      <c r="F10496" s="19"/>
      <c r="G10496" s="19"/>
      <c r="N10496" s="19"/>
      <c r="P10496" s="19"/>
      <c r="AL10496" s="19"/>
    </row>
    <row r="10497" spans="1:38" s="11" customFormat="1" x14ac:dyDescent="0.25">
      <c r="A10497" s="3"/>
      <c r="F10497" s="19"/>
      <c r="G10497" s="19"/>
      <c r="N10497" s="19"/>
      <c r="P10497" s="19"/>
      <c r="AL10497" s="19"/>
    </row>
    <row r="10498" spans="1:38" s="11" customFormat="1" x14ac:dyDescent="0.25">
      <c r="A10498" s="3"/>
      <c r="F10498" s="19"/>
      <c r="G10498" s="19"/>
      <c r="N10498" s="19"/>
      <c r="P10498" s="19"/>
      <c r="AL10498" s="19"/>
    </row>
    <row r="10499" spans="1:38" s="11" customFormat="1" x14ac:dyDescent="0.25">
      <c r="A10499" s="3"/>
      <c r="F10499" s="19"/>
      <c r="G10499" s="19"/>
      <c r="N10499" s="19"/>
      <c r="P10499" s="19"/>
      <c r="AL10499" s="19"/>
    </row>
    <row r="10500" spans="1:38" s="11" customFormat="1" x14ac:dyDescent="0.25">
      <c r="A10500" s="3"/>
      <c r="F10500" s="19"/>
      <c r="G10500" s="19"/>
      <c r="N10500" s="19"/>
      <c r="P10500" s="19"/>
      <c r="AL10500" s="19"/>
    </row>
    <row r="10501" spans="1:38" s="11" customFormat="1" x14ac:dyDescent="0.25">
      <c r="A10501" s="3"/>
      <c r="F10501" s="19"/>
      <c r="G10501" s="19"/>
      <c r="N10501" s="19"/>
      <c r="P10501" s="19"/>
      <c r="AL10501" s="19"/>
    </row>
    <row r="10502" spans="1:38" s="11" customFormat="1" x14ac:dyDescent="0.25">
      <c r="A10502" s="3"/>
      <c r="F10502" s="19"/>
      <c r="G10502" s="19"/>
      <c r="N10502" s="19"/>
      <c r="P10502" s="19"/>
      <c r="AL10502" s="19"/>
    </row>
    <row r="10503" spans="1:38" s="11" customFormat="1" x14ac:dyDescent="0.25">
      <c r="A10503" s="3"/>
      <c r="F10503" s="19"/>
      <c r="G10503" s="19"/>
      <c r="N10503" s="19"/>
      <c r="P10503" s="19"/>
      <c r="AL10503" s="19"/>
    </row>
    <row r="10504" spans="1:38" s="11" customFormat="1" x14ac:dyDescent="0.25">
      <c r="A10504" s="3"/>
      <c r="F10504" s="19"/>
      <c r="G10504" s="19"/>
      <c r="N10504" s="19"/>
      <c r="P10504" s="19"/>
      <c r="AL10504" s="19"/>
    </row>
    <row r="10505" spans="1:38" s="11" customFormat="1" x14ac:dyDescent="0.25">
      <c r="A10505" s="3"/>
      <c r="F10505" s="19"/>
      <c r="G10505" s="19"/>
      <c r="N10505" s="19"/>
      <c r="P10505" s="19"/>
      <c r="AL10505" s="19"/>
    </row>
    <row r="10506" spans="1:38" s="11" customFormat="1" x14ac:dyDescent="0.25">
      <c r="A10506" s="3"/>
      <c r="F10506" s="19"/>
      <c r="G10506" s="19"/>
      <c r="N10506" s="19"/>
      <c r="P10506" s="19"/>
      <c r="AL10506" s="19"/>
    </row>
    <row r="10507" spans="1:38" s="11" customFormat="1" x14ac:dyDescent="0.25">
      <c r="A10507" s="3"/>
      <c r="F10507" s="19"/>
      <c r="G10507" s="19"/>
      <c r="N10507" s="19"/>
      <c r="P10507" s="19"/>
      <c r="AL10507" s="19"/>
    </row>
    <row r="10508" spans="1:38" s="11" customFormat="1" x14ac:dyDescent="0.25">
      <c r="A10508" s="3"/>
      <c r="F10508" s="19"/>
      <c r="G10508" s="19"/>
      <c r="N10508" s="19"/>
      <c r="P10508" s="19"/>
      <c r="AL10508" s="19"/>
    </row>
    <row r="10509" spans="1:38" s="11" customFormat="1" x14ac:dyDescent="0.25">
      <c r="A10509" s="3"/>
      <c r="F10509" s="19"/>
      <c r="G10509" s="19"/>
      <c r="N10509" s="19"/>
      <c r="P10509" s="19"/>
      <c r="AL10509" s="19"/>
    </row>
    <row r="10510" spans="1:38" s="11" customFormat="1" x14ac:dyDescent="0.25">
      <c r="A10510" s="3"/>
      <c r="F10510" s="19"/>
      <c r="G10510" s="19"/>
      <c r="N10510" s="19"/>
      <c r="P10510" s="19"/>
      <c r="AL10510" s="19"/>
    </row>
    <row r="10511" spans="1:38" s="11" customFormat="1" x14ac:dyDescent="0.25">
      <c r="A10511" s="3"/>
      <c r="F10511" s="19"/>
      <c r="G10511" s="19"/>
      <c r="N10511" s="19"/>
      <c r="P10511" s="19"/>
      <c r="AL10511" s="19"/>
    </row>
    <row r="10512" spans="1:38" s="11" customFormat="1" x14ac:dyDescent="0.25">
      <c r="A10512" s="3"/>
      <c r="F10512" s="19"/>
      <c r="G10512" s="19"/>
      <c r="N10512" s="19"/>
      <c r="P10512" s="19"/>
      <c r="AL10512" s="19"/>
    </row>
    <row r="10513" spans="1:38" s="11" customFormat="1" x14ac:dyDescent="0.25">
      <c r="A10513" s="3"/>
      <c r="F10513" s="19"/>
      <c r="G10513" s="19"/>
      <c r="N10513" s="19"/>
      <c r="P10513" s="19"/>
      <c r="AL10513" s="19"/>
    </row>
    <row r="10514" spans="1:38" s="11" customFormat="1" x14ac:dyDescent="0.25">
      <c r="A10514" s="3"/>
      <c r="F10514" s="19"/>
      <c r="G10514" s="19"/>
      <c r="N10514" s="19"/>
      <c r="P10514" s="19"/>
      <c r="AL10514" s="19"/>
    </row>
    <row r="10515" spans="1:38" s="11" customFormat="1" x14ac:dyDescent="0.25">
      <c r="A10515" s="3"/>
      <c r="F10515" s="19"/>
      <c r="G10515" s="19"/>
      <c r="N10515" s="19"/>
      <c r="P10515" s="19"/>
      <c r="AL10515" s="19"/>
    </row>
    <row r="10516" spans="1:38" s="11" customFormat="1" x14ac:dyDescent="0.25">
      <c r="A10516" s="3"/>
      <c r="F10516" s="19"/>
      <c r="G10516" s="19"/>
      <c r="N10516" s="19"/>
      <c r="P10516" s="19"/>
      <c r="AL10516" s="19"/>
    </row>
    <row r="10517" spans="1:38" s="11" customFormat="1" x14ac:dyDescent="0.25">
      <c r="A10517" s="3"/>
      <c r="F10517" s="19"/>
      <c r="G10517" s="19"/>
      <c r="N10517" s="19"/>
      <c r="P10517" s="19"/>
      <c r="AL10517" s="19"/>
    </row>
    <row r="10518" spans="1:38" s="11" customFormat="1" x14ac:dyDescent="0.25">
      <c r="A10518" s="3"/>
      <c r="F10518" s="19"/>
      <c r="G10518" s="19"/>
      <c r="N10518" s="19"/>
      <c r="P10518" s="19"/>
      <c r="AL10518" s="19"/>
    </row>
    <row r="10519" spans="1:38" s="11" customFormat="1" x14ac:dyDescent="0.25">
      <c r="A10519" s="3"/>
      <c r="F10519" s="19"/>
      <c r="G10519" s="19"/>
      <c r="N10519" s="19"/>
      <c r="P10519" s="19"/>
      <c r="AL10519" s="19"/>
    </row>
    <row r="10520" spans="1:38" s="11" customFormat="1" x14ac:dyDescent="0.25">
      <c r="A10520" s="3"/>
      <c r="F10520" s="19"/>
      <c r="G10520" s="19"/>
      <c r="N10520" s="19"/>
      <c r="P10520" s="19"/>
      <c r="AL10520" s="19"/>
    </row>
    <row r="10521" spans="1:38" s="11" customFormat="1" x14ac:dyDescent="0.25">
      <c r="A10521" s="3"/>
      <c r="F10521" s="19"/>
      <c r="G10521" s="19"/>
      <c r="N10521" s="19"/>
      <c r="P10521" s="19"/>
      <c r="AL10521" s="19"/>
    </row>
    <row r="10522" spans="1:38" s="11" customFormat="1" x14ac:dyDescent="0.25">
      <c r="A10522" s="3"/>
      <c r="F10522" s="19"/>
      <c r="G10522" s="19"/>
      <c r="N10522" s="19"/>
      <c r="P10522" s="19"/>
      <c r="AL10522" s="19"/>
    </row>
    <row r="10523" spans="1:38" s="11" customFormat="1" x14ac:dyDescent="0.25">
      <c r="A10523" s="3"/>
      <c r="F10523" s="19"/>
      <c r="G10523" s="19"/>
      <c r="N10523" s="19"/>
      <c r="P10523" s="19"/>
      <c r="AL10523" s="19"/>
    </row>
    <row r="10524" spans="1:38" s="11" customFormat="1" x14ac:dyDescent="0.25">
      <c r="A10524" s="3"/>
      <c r="F10524" s="19"/>
      <c r="G10524" s="19"/>
      <c r="N10524" s="19"/>
      <c r="P10524" s="19"/>
      <c r="AL10524" s="19"/>
    </row>
    <row r="10525" spans="1:38" s="11" customFormat="1" x14ac:dyDescent="0.25">
      <c r="A10525" s="3"/>
      <c r="F10525" s="19"/>
      <c r="G10525" s="19"/>
      <c r="N10525" s="19"/>
      <c r="P10525" s="19"/>
      <c r="AL10525" s="19"/>
    </row>
    <row r="10526" spans="1:38" s="11" customFormat="1" x14ac:dyDescent="0.25">
      <c r="A10526" s="3"/>
      <c r="F10526" s="19"/>
      <c r="G10526" s="19"/>
      <c r="N10526" s="19"/>
      <c r="P10526" s="19"/>
      <c r="AL10526" s="19"/>
    </row>
    <row r="10527" spans="1:38" s="11" customFormat="1" x14ac:dyDescent="0.25">
      <c r="A10527" s="3"/>
      <c r="F10527" s="19"/>
      <c r="G10527" s="19"/>
      <c r="N10527" s="19"/>
      <c r="P10527" s="19"/>
      <c r="AL10527" s="19"/>
    </row>
    <row r="10528" spans="1:38" s="11" customFormat="1" x14ac:dyDescent="0.25">
      <c r="A10528" s="3"/>
      <c r="F10528" s="19"/>
      <c r="G10528" s="19"/>
      <c r="N10528" s="19"/>
      <c r="P10528" s="19"/>
      <c r="AL10528" s="19"/>
    </row>
    <row r="10529" spans="1:38" s="11" customFormat="1" x14ac:dyDescent="0.25">
      <c r="A10529" s="3"/>
      <c r="F10529" s="19"/>
      <c r="G10529" s="19"/>
      <c r="N10529" s="19"/>
      <c r="P10529" s="19"/>
      <c r="AL10529" s="19"/>
    </row>
    <row r="10530" spans="1:38" s="11" customFormat="1" x14ac:dyDescent="0.25">
      <c r="A10530" s="3"/>
      <c r="F10530" s="19"/>
      <c r="G10530" s="19"/>
      <c r="N10530" s="19"/>
      <c r="P10530" s="19"/>
      <c r="AL10530" s="19"/>
    </row>
    <row r="10531" spans="1:38" s="11" customFormat="1" x14ac:dyDescent="0.25">
      <c r="A10531" s="3"/>
      <c r="F10531" s="19"/>
      <c r="G10531" s="19"/>
      <c r="N10531" s="19"/>
      <c r="P10531" s="19"/>
      <c r="AL10531" s="19"/>
    </row>
    <row r="10532" spans="1:38" s="11" customFormat="1" x14ac:dyDescent="0.25">
      <c r="A10532" s="3"/>
      <c r="F10532" s="19"/>
      <c r="G10532" s="19"/>
      <c r="N10532" s="19"/>
      <c r="P10532" s="19"/>
      <c r="AL10532" s="19"/>
    </row>
    <row r="10533" spans="1:38" s="11" customFormat="1" x14ac:dyDescent="0.25">
      <c r="A10533" s="3"/>
      <c r="F10533" s="19"/>
      <c r="G10533" s="19"/>
      <c r="N10533" s="19"/>
      <c r="P10533" s="19"/>
      <c r="AL10533" s="19"/>
    </row>
    <row r="10534" spans="1:38" s="11" customFormat="1" x14ac:dyDescent="0.25">
      <c r="A10534" s="3"/>
      <c r="F10534" s="19"/>
      <c r="G10534" s="19"/>
      <c r="N10534" s="19"/>
      <c r="P10534" s="19"/>
      <c r="AL10534" s="19"/>
    </row>
    <row r="10535" spans="1:38" s="11" customFormat="1" x14ac:dyDescent="0.25">
      <c r="A10535" s="3"/>
      <c r="F10535" s="19"/>
      <c r="G10535" s="19"/>
      <c r="N10535" s="19"/>
      <c r="P10535" s="19"/>
      <c r="AL10535" s="19"/>
    </row>
    <row r="10536" spans="1:38" s="11" customFormat="1" x14ac:dyDescent="0.25">
      <c r="A10536" s="3"/>
      <c r="F10536" s="19"/>
      <c r="G10536" s="19"/>
      <c r="N10536" s="19"/>
      <c r="P10536" s="19"/>
      <c r="AL10536" s="19"/>
    </row>
    <row r="10537" spans="1:38" s="11" customFormat="1" x14ac:dyDescent="0.25">
      <c r="A10537" s="3"/>
      <c r="F10537" s="19"/>
      <c r="G10537" s="19"/>
      <c r="N10537" s="19"/>
      <c r="P10537" s="19"/>
      <c r="AL10537" s="19"/>
    </row>
    <row r="10538" spans="1:38" s="11" customFormat="1" x14ac:dyDescent="0.25">
      <c r="A10538" s="3"/>
      <c r="F10538" s="19"/>
      <c r="G10538" s="19"/>
      <c r="N10538" s="19"/>
      <c r="P10538" s="19"/>
      <c r="AL10538" s="19"/>
    </row>
    <row r="10539" spans="1:38" s="11" customFormat="1" x14ac:dyDescent="0.25">
      <c r="A10539" s="3"/>
      <c r="F10539" s="19"/>
      <c r="G10539" s="19"/>
      <c r="N10539" s="19"/>
      <c r="P10539" s="19"/>
      <c r="AL10539" s="19"/>
    </row>
    <row r="10540" spans="1:38" s="11" customFormat="1" x14ac:dyDescent="0.25">
      <c r="A10540" s="3"/>
      <c r="F10540" s="19"/>
      <c r="G10540" s="19"/>
      <c r="N10540" s="19"/>
      <c r="P10540" s="19"/>
      <c r="AL10540" s="19"/>
    </row>
    <row r="10541" spans="1:38" s="11" customFormat="1" x14ac:dyDescent="0.25">
      <c r="A10541" s="3"/>
      <c r="F10541" s="19"/>
      <c r="G10541" s="19"/>
      <c r="N10541" s="19"/>
      <c r="P10541" s="19"/>
      <c r="AL10541" s="19"/>
    </row>
    <row r="10542" spans="1:38" s="11" customFormat="1" x14ac:dyDescent="0.25">
      <c r="A10542" s="3"/>
      <c r="F10542" s="19"/>
      <c r="G10542" s="19"/>
      <c r="N10542" s="19"/>
      <c r="P10542" s="19"/>
      <c r="AL10542" s="19"/>
    </row>
    <row r="10543" spans="1:38" s="11" customFormat="1" x14ac:dyDescent="0.25">
      <c r="A10543" s="3"/>
      <c r="F10543" s="19"/>
      <c r="G10543" s="19"/>
      <c r="N10543" s="19"/>
      <c r="P10543" s="19"/>
      <c r="AL10543" s="19"/>
    </row>
    <row r="10544" spans="1:38" s="11" customFormat="1" x14ac:dyDescent="0.25">
      <c r="A10544" s="3"/>
      <c r="F10544" s="19"/>
      <c r="G10544" s="19"/>
      <c r="N10544" s="19"/>
      <c r="P10544" s="19"/>
      <c r="AL10544" s="19"/>
    </row>
    <row r="10545" spans="1:38" s="11" customFormat="1" x14ac:dyDescent="0.25">
      <c r="A10545" s="3"/>
      <c r="F10545" s="19"/>
      <c r="G10545" s="19"/>
      <c r="N10545" s="19"/>
      <c r="P10545" s="19"/>
      <c r="AL10545" s="19"/>
    </row>
    <row r="10546" spans="1:38" s="11" customFormat="1" x14ac:dyDescent="0.25">
      <c r="A10546" s="3"/>
      <c r="F10546" s="19"/>
      <c r="G10546" s="19"/>
      <c r="N10546" s="19"/>
      <c r="P10546" s="19"/>
      <c r="AL10546" s="19"/>
    </row>
    <row r="10547" spans="1:38" s="11" customFormat="1" x14ac:dyDescent="0.25">
      <c r="A10547" s="3"/>
      <c r="F10547" s="19"/>
      <c r="G10547" s="19"/>
      <c r="N10547" s="19"/>
      <c r="P10547" s="19"/>
      <c r="AL10547" s="19"/>
    </row>
    <row r="10548" spans="1:38" s="11" customFormat="1" x14ac:dyDescent="0.25">
      <c r="A10548" s="3"/>
      <c r="F10548" s="19"/>
      <c r="G10548" s="19"/>
      <c r="N10548" s="19"/>
      <c r="P10548" s="19"/>
      <c r="AL10548" s="19"/>
    </row>
    <row r="10549" spans="1:38" s="11" customFormat="1" x14ac:dyDescent="0.25">
      <c r="A10549" s="3"/>
      <c r="F10549" s="19"/>
      <c r="G10549" s="19"/>
      <c r="N10549" s="19"/>
      <c r="P10549" s="19"/>
      <c r="AL10549" s="19"/>
    </row>
    <row r="10550" spans="1:38" s="11" customFormat="1" x14ac:dyDescent="0.25">
      <c r="A10550" s="3"/>
      <c r="F10550" s="19"/>
      <c r="G10550" s="19"/>
      <c r="N10550" s="19"/>
      <c r="P10550" s="19"/>
      <c r="AL10550" s="19"/>
    </row>
    <row r="10551" spans="1:38" s="11" customFormat="1" x14ac:dyDescent="0.25">
      <c r="A10551" s="3"/>
      <c r="F10551" s="19"/>
      <c r="G10551" s="19"/>
      <c r="N10551" s="19"/>
      <c r="P10551" s="19"/>
      <c r="AL10551" s="19"/>
    </row>
    <row r="10552" spans="1:38" s="11" customFormat="1" x14ac:dyDescent="0.25">
      <c r="A10552" s="3"/>
      <c r="F10552" s="19"/>
      <c r="G10552" s="19"/>
      <c r="N10552" s="19"/>
      <c r="P10552" s="19"/>
      <c r="AL10552" s="19"/>
    </row>
    <row r="10553" spans="1:38" s="11" customFormat="1" x14ac:dyDescent="0.25">
      <c r="A10553" s="3"/>
      <c r="F10553" s="19"/>
      <c r="G10553" s="19"/>
      <c r="N10553" s="19"/>
      <c r="P10553" s="19"/>
      <c r="AL10553" s="19"/>
    </row>
    <row r="10554" spans="1:38" s="11" customFormat="1" x14ac:dyDescent="0.25">
      <c r="A10554" s="3"/>
      <c r="F10554" s="19"/>
      <c r="G10554" s="19"/>
      <c r="N10554" s="19"/>
      <c r="P10554" s="19"/>
      <c r="AL10554" s="19"/>
    </row>
    <row r="10555" spans="1:38" s="11" customFormat="1" x14ac:dyDescent="0.25">
      <c r="A10555" s="3"/>
      <c r="F10555" s="19"/>
      <c r="G10555" s="19"/>
      <c r="N10555" s="19"/>
      <c r="P10555" s="19"/>
      <c r="AL10555" s="19"/>
    </row>
    <row r="10556" spans="1:38" s="11" customFormat="1" x14ac:dyDescent="0.25">
      <c r="A10556" s="3"/>
      <c r="F10556" s="19"/>
      <c r="G10556" s="19"/>
      <c r="N10556" s="19"/>
      <c r="P10556" s="19"/>
      <c r="AL10556" s="19"/>
    </row>
    <row r="10557" spans="1:38" s="11" customFormat="1" x14ac:dyDescent="0.25">
      <c r="A10557" s="3"/>
      <c r="F10557" s="19"/>
      <c r="G10557" s="19"/>
      <c r="N10557" s="19"/>
      <c r="P10557" s="19"/>
      <c r="AL10557" s="19"/>
    </row>
    <row r="10558" spans="1:38" s="11" customFormat="1" x14ac:dyDescent="0.25">
      <c r="A10558" s="3"/>
      <c r="F10558" s="19"/>
      <c r="G10558" s="19"/>
      <c r="N10558" s="19"/>
      <c r="P10558" s="19"/>
      <c r="AL10558" s="19"/>
    </row>
    <row r="10559" spans="1:38" s="11" customFormat="1" x14ac:dyDescent="0.25">
      <c r="A10559" s="3"/>
      <c r="F10559" s="19"/>
      <c r="G10559" s="19"/>
      <c r="N10559" s="19"/>
      <c r="P10559" s="19"/>
      <c r="AL10559" s="19"/>
    </row>
    <row r="10560" spans="1:38" s="11" customFormat="1" x14ac:dyDescent="0.25">
      <c r="A10560" s="3"/>
      <c r="F10560" s="19"/>
      <c r="G10560" s="19"/>
      <c r="N10560" s="19"/>
      <c r="P10560" s="19"/>
      <c r="AL10560" s="19"/>
    </row>
    <row r="10561" spans="1:38" s="11" customFormat="1" x14ac:dyDescent="0.25">
      <c r="A10561" s="3"/>
      <c r="F10561" s="19"/>
      <c r="G10561" s="19"/>
      <c r="N10561" s="19"/>
      <c r="P10561" s="19"/>
      <c r="AL10561" s="19"/>
    </row>
    <row r="10562" spans="1:38" s="11" customFormat="1" x14ac:dyDescent="0.25">
      <c r="A10562" s="3"/>
      <c r="F10562" s="19"/>
      <c r="G10562" s="19"/>
      <c r="N10562" s="19"/>
      <c r="P10562" s="19"/>
      <c r="AL10562" s="19"/>
    </row>
    <row r="10563" spans="1:38" s="11" customFormat="1" x14ac:dyDescent="0.25">
      <c r="A10563" s="3"/>
      <c r="F10563" s="19"/>
      <c r="G10563" s="19"/>
      <c r="N10563" s="19"/>
      <c r="P10563" s="19"/>
      <c r="AL10563" s="19"/>
    </row>
    <row r="10564" spans="1:38" s="11" customFormat="1" x14ac:dyDescent="0.25">
      <c r="A10564" s="3"/>
      <c r="F10564" s="19"/>
      <c r="G10564" s="19"/>
      <c r="N10564" s="19"/>
      <c r="P10564" s="19"/>
      <c r="AL10564" s="19"/>
    </row>
    <row r="10565" spans="1:38" s="11" customFormat="1" x14ac:dyDescent="0.25">
      <c r="A10565" s="3"/>
      <c r="F10565" s="19"/>
      <c r="G10565" s="19"/>
      <c r="N10565" s="19"/>
      <c r="P10565" s="19"/>
      <c r="AL10565" s="19"/>
    </row>
    <row r="10566" spans="1:38" s="11" customFormat="1" x14ac:dyDescent="0.25">
      <c r="A10566" s="3"/>
      <c r="F10566" s="19"/>
      <c r="G10566" s="19"/>
      <c r="N10566" s="19"/>
      <c r="P10566" s="19"/>
      <c r="AL10566" s="19"/>
    </row>
    <row r="10567" spans="1:38" s="11" customFormat="1" x14ac:dyDescent="0.25">
      <c r="A10567" s="3"/>
      <c r="F10567" s="19"/>
      <c r="G10567" s="19"/>
      <c r="N10567" s="19"/>
      <c r="P10567" s="19"/>
      <c r="AL10567" s="19"/>
    </row>
    <row r="10568" spans="1:38" s="11" customFormat="1" x14ac:dyDescent="0.25">
      <c r="A10568" s="3"/>
      <c r="F10568" s="19"/>
      <c r="G10568" s="19"/>
      <c r="N10568" s="19"/>
      <c r="P10568" s="19"/>
      <c r="AL10568" s="19"/>
    </row>
    <row r="10569" spans="1:38" s="11" customFormat="1" x14ac:dyDescent="0.25">
      <c r="A10569" s="3"/>
      <c r="F10569" s="19"/>
      <c r="G10569" s="19"/>
      <c r="N10569" s="19"/>
      <c r="P10569" s="19"/>
      <c r="AL10569" s="19"/>
    </row>
    <row r="10570" spans="1:38" s="11" customFormat="1" x14ac:dyDescent="0.25">
      <c r="A10570" s="3"/>
      <c r="F10570" s="19"/>
      <c r="G10570" s="19"/>
      <c r="N10570" s="19"/>
      <c r="P10570" s="19"/>
      <c r="AL10570" s="19"/>
    </row>
    <row r="10571" spans="1:38" s="11" customFormat="1" x14ac:dyDescent="0.25">
      <c r="A10571" s="3"/>
      <c r="F10571" s="19"/>
      <c r="G10571" s="19"/>
      <c r="N10571" s="19"/>
      <c r="P10571" s="19"/>
      <c r="AL10571" s="19"/>
    </row>
    <row r="10572" spans="1:38" s="11" customFormat="1" x14ac:dyDescent="0.25">
      <c r="A10572" s="3"/>
      <c r="F10572" s="19"/>
      <c r="G10572" s="19"/>
      <c r="N10572" s="19"/>
      <c r="P10572" s="19"/>
      <c r="AL10572" s="19"/>
    </row>
    <row r="10573" spans="1:38" s="11" customFormat="1" x14ac:dyDescent="0.25">
      <c r="A10573" s="3"/>
      <c r="F10573" s="19"/>
      <c r="G10573" s="19"/>
      <c r="N10573" s="19"/>
      <c r="P10573" s="19"/>
      <c r="AL10573" s="19"/>
    </row>
    <row r="10574" spans="1:38" s="11" customFormat="1" x14ac:dyDescent="0.25">
      <c r="A10574" s="3"/>
      <c r="F10574" s="19"/>
      <c r="G10574" s="19"/>
      <c r="N10574" s="19"/>
      <c r="P10574" s="19"/>
      <c r="AL10574" s="19"/>
    </row>
    <row r="10575" spans="1:38" s="11" customFormat="1" x14ac:dyDescent="0.25">
      <c r="A10575" s="3"/>
      <c r="F10575" s="19"/>
      <c r="G10575" s="19"/>
      <c r="N10575" s="19"/>
      <c r="P10575" s="19"/>
      <c r="AL10575" s="19"/>
    </row>
    <row r="10576" spans="1:38" s="11" customFormat="1" x14ac:dyDescent="0.25">
      <c r="A10576" s="3"/>
      <c r="F10576" s="19"/>
      <c r="G10576" s="19"/>
      <c r="N10576" s="19"/>
      <c r="P10576" s="19"/>
      <c r="AL10576" s="19"/>
    </row>
    <row r="10577" spans="1:38" s="11" customFormat="1" x14ac:dyDescent="0.25">
      <c r="A10577" s="3"/>
      <c r="F10577" s="19"/>
      <c r="G10577" s="19"/>
      <c r="N10577" s="19"/>
      <c r="P10577" s="19"/>
      <c r="AL10577" s="19"/>
    </row>
    <row r="10578" spans="1:38" s="11" customFormat="1" x14ac:dyDescent="0.25">
      <c r="A10578" s="3"/>
      <c r="F10578" s="19"/>
      <c r="G10578" s="19"/>
      <c r="N10578" s="19"/>
      <c r="P10578" s="19"/>
      <c r="AL10578" s="19"/>
    </row>
    <row r="10579" spans="1:38" s="11" customFormat="1" x14ac:dyDescent="0.25">
      <c r="A10579" s="3"/>
      <c r="F10579" s="19"/>
      <c r="G10579" s="19"/>
      <c r="N10579" s="19"/>
      <c r="P10579" s="19"/>
      <c r="AL10579" s="19"/>
    </row>
    <row r="10580" spans="1:38" s="11" customFormat="1" x14ac:dyDescent="0.25">
      <c r="A10580" s="3"/>
      <c r="F10580" s="19"/>
      <c r="G10580" s="19"/>
      <c r="N10580" s="19"/>
      <c r="P10580" s="19"/>
      <c r="AL10580" s="19"/>
    </row>
    <row r="10581" spans="1:38" s="11" customFormat="1" x14ac:dyDescent="0.25">
      <c r="A10581" s="3"/>
      <c r="F10581" s="19"/>
      <c r="G10581" s="19"/>
      <c r="N10581" s="19"/>
      <c r="P10581" s="19"/>
      <c r="AL10581" s="19"/>
    </row>
    <row r="10582" spans="1:38" s="11" customFormat="1" x14ac:dyDescent="0.25">
      <c r="A10582" s="3"/>
      <c r="F10582" s="19"/>
      <c r="G10582" s="19"/>
      <c r="N10582" s="19"/>
      <c r="P10582" s="19"/>
      <c r="AL10582" s="19"/>
    </row>
    <row r="10583" spans="1:38" s="11" customFormat="1" x14ac:dyDescent="0.25">
      <c r="A10583" s="3"/>
      <c r="F10583" s="19"/>
      <c r="G10583" s="19"/>
      <c r="N10583" s="19"/>
      <c r="P10583" s="19"/>
      <c r="AL10583" s="19"/>
    </row>
    <row r="10584" spans="1:38" s="11" customFormat="1" x14ac:dyDescent="0.25">
      <c r="A10584" s="3"/>
      <c r="F10584" s="19"/>
      <c r="G10584" s="19"/>
      <c r="N10584" s="19"/>
      <c r="P10584" s="19"/>
      <c r="AL10584" s="19"/>
    </row>
    <row r="10585" spans="1:38" s="11" customFormat="1" x14ac:dyDescent="0.25">
      <c r="A10585" s="3"/>
      <c r="F10585" s="19"/>
      <c r="G10585" s="19"/>
      <c r="N10585" s="19"/>
      <c r="P10585" s="19"/>
      <c r="AL10585" s="19"/>
    </row>
    <row r="10586" spans="1:38" s="11" customFormat="1" x14ac:dyDescent="0.25">
      <c r="A10586" s="3"/>
      <c r="F10586" s="19"/>
      <c r="G10586" s="19"/>
      <c r="N10586" s="19"/>
      <c r="P10586" s="19"/>
      <c r="AL10586" s="19"/>
    </row>
    <row r="10587" spans="1:38" s="11" customFormat="1" x14ac:dyDescent="0.25">
      <c r="A10587" s="3"/>
      <c r="F10587" s="19"/>
      <c r="G10587" s="19"/>
      <c r="N10587" s="19"/>
      <c r="P10587" s="19"/>
      <c r="AL10587" s="19"/>
    </row>
    <row r="10588" spans="1:38" s="11" customFormat="1" x14ac:dyDescent="0.25">
      <c r="A10588" s="3"/>
      <c r="F10588" s="19"/>
      <c r="G10588" s="19"/>
      <c r="N10588" s="19"/>
      <c r="P10588" s="19"/>
      <c r="AL10588" s="19"/>
    </row>
    <row r="10589" spans="1:38" s="11" customFormat="1" x14ac:dyDescent="0.25">
      <c r="A10589" s="3"/>
      <c r="F10589" s="19"/>
      <c r="G10589" s="19"/>
      <c r="N10589" s="19"/>
      <c r="P10589" s="19"/>
      <c r="AL10589" s="19"/>
    </row>
    <row r="10590" spans="1:38" s="11" customFormat="1" x14ac:dyDescent="0.25">
      <c r="A10590" s="3"/>
      <c r="F10590" s="19"/>
      <c r="G10590" s="19"/>
      <c r="N10590" s="19"/>
      <c r="P10590" s="19"/>
      <c r="AL10590" s="19"/>
    </row>
    <row r="10591" spans="1:38" s="11" customFormat="1" x14ac:dyDescent="0.25">
      <c r="A10591" s="3"/>
      <c r="F10591" s="19"/>
      <c r="G10591" s="19"/>
      <c r="N10591" s="19"/>
      <c r="P10591" s="19"/>
      <c r="AL10591" s="19"/>
    </row>
    <row r="10592" spans="1:38" s="11" customFormat="1" x14ac:dyDescent="0.25">
      <c r="A10592" s="3"/>
      <c r="F10592" s="19"/>
      <c r="G10592" s="19"/>
      <c r="N10592" s="19"/>
      <c r="P10592" s="19"/>
      <c r="AL10592" s="19"/>
    </row>
    <row r="10593" spans="1:38" s="11" customFormat="1" x14ac:dyDescent="0.25">
      <c r="A10593" s="3"/>
      <c r="F10593" s="19"/>
      <c r="G10593" s="19"/>
      <c r="N10593" s="19"/>
      <c r="P10593" s="19"/>
      <c r="AL10593" s="19"/>
    </row>
    <row r="10594" spans="1:38" s="11" customFormat="1" x14ac:dyDescent="0.25">
      <c r="A10594" s="3"/>
      <c r="F10594" s="19"/>
      <c r="G10594" s="19"/>
      <c r="N10594" s="19"/>
      <c r="P10594" s="19"/>
      <c r="AL10594" s="19"/>
    </row>
    <row r="10595" spans="1:38" s="11" customFormat="1" x14ac:dyDescent="0.25">
      <c r="A10595" s="3"/>
      <c r="F10595" s="19"/>
      <c r="G10595" s="19"/>
      <c r="N10595" s="19"/>
      <c r="P10595" s="19"/>
      <c r="AL10595" s="19"/>
    </row>
    <row r="10596" spans="1:38" s="11" customFormat="1" x14ac:dyDescent="0.25">
      <c r="A10596" s="3"/>
      <c r="F10596" s="19"/>
      <c r="G10596" s="19"/>
      <c r="N10596" s="19"/>
      <c r="P10596" s="19"/>
      <c r="AL10596" s="19"/>
    </row>
    <row r="10597" spans="1:38" s="11" customFormat="1" x14ac:dyDescent="0.25">
      <c r="A10597" s="3"/>
      <c r="F10597" s="19"/>
      <c r="G10597" s="19"/>
      <c r="N10597" s="19"/>
      <c r="P10597" s="19"/>
      <c r="AL10597" s="19"/>
    </row>
    <row r="10598" spans="1:38" s="11" customFormat="1" x14ac:dyDescent="0.25">
      <c r="A10598" s="3"/>
      <c r="F10598" s="19"/>
      <c r="G10598" s="19"/>
      <c r="N10598" s="19"/>
      <c r="P10598" s="19"/>
      <c r="AL10598" s="19"/>
    </row>
    <row r="10599" spans="1:38" s="11" customFormat="1" x14ac:dyDescent="0.25">
      <c r="A10599" s="3"/>
      <c r="F10599" s="19"/>
      <c r="G10599" s="19"/>
      <c r="N10599" s="19"/>
      <c r="P10599" s="19"/>
      <c r="AL10599" s="19"/>
    </row>
    <row r="10600" spans="1:38" s="11" customFormat="1" x14ac:dyDescent="0.25">
      <c r="A10600" s="3"/>
      <c r="F10600" s="19"/>
      <c r="G10600" s="19"/>
      <c r="N10600" s="19"/>
      <c r="P10600" s="19"/>
      <c r="AL10600" s="19"/>
    </row>
    <row r="10601" spans="1:38" s="11" customFormat="1" x14ac:dyDescent="0.25">
      <c r="A10601" s="3"/>
      <c r="F10601" s="19"/>
      <c r="G10601" s="19"/>
      <c r="N10601" s="19"/>
      <c r="P10601" s="19"/>
      <c r="AL10601" s="19"/>
    </row>
    <row r="10602" spans="1:38" s="11" customFormat="1" x14ac:dyDescent="0.25">
      <c r="A10602" s="3"/>
      <c r="F10602" s="19"/>
      <c r="G10602" s="19"/>
      <c r="N10602" s="19"/>
      <c r="P10602" s="19"/>
      <c r="AL10602" s="19"/>
    </row>
    <row r="10603" spans="1:38" s="11" customFormat="1" x14ac:dyDescent="0.25">
      <c r="A10603" s="3"/>
      <c r="F10603" s="19"/>
      <c r="G10603" s="19"/>
      <c r="N10603" s="19"/>
      <c r="P10603" s="19"/>
      <c r="AL10603" s="19"/>
    </row>
    <row r="10604" spans="1:38" s="11" customFormat="1" x14ac:dyDescent="0.25">
      <c r="A10604" s="3"/>
      <c r="F10604" s="19"/>
      <c r="G10604" s="19"/>
      <c r="N10604" s="19"/>
      <c r="P10604" s="19"/>
      <c r="AL10604" s="19"/>
    </row>
    <row r="10605" spans="1:38" s="11" customFormat="1" x14ac:dyDescent="0.25">
      <c r="A10605" s="3"/>
      <c r="F10605" s="19"/>
      <c r="G10605" s="19"/>
      <c r="N10605" s="19"/>
      <c r="P10605" s="19"/>
      <c r="AL10605" s="19"/>
    </row>
    <row r="10606" spans="1:38" s="11" customFormat="1" x14ac:dyDescent="0.25">
      <c r="A10606" s="3"/>
      <c r="F10606" s="19"/>
      <c r="G10606" s="19"/>
      <c r="N10606" s="19"/>
      <c r="P10606" s="19"/>
      <c r="AL10606" s="19"/>
    </row>
    <row r="10607" spans="1:38" s="11" customFormat="1" x14ac:dyDescent="0.25">
      <c r="A10607" s="3"/>
      <c r="F10607" s="19"/>
      <c r="G10607" s="19"/>
      <c r="N10607" s="19"/>
      <c r="P10607" s="19"/>
      <c r="AL10607" s="19"/>
    </row>
    <row r="10608" spans="1:38" s="11" customFormat="1" x14ac:dyDescent="0.25">
      <c r="A10608" s="3"/>
      <c r="F10608" s="19"/>
      <c r="G10608" s="19"/>
      <c r="N10608" s="19"/>
      <c r="P10608" s="19"/>
      <c r="AL10608" s="19"/>
    </row>
    <row r="10609" spans="1:38" s="11" customFormat="1" x14ac:dyDescent="0.25">
      <c r="A10609" s="3"/>
      <c r="F10609" s="19"/>
      <c r="G10609" s="19"/>
      <c r="N10609" s="19"/>
      <c r="P10609" s="19"/>
      <c r="AL10609" s="19"/>
    </row>
    <row r="10610" spans="1:38" s="11" customFormat="1" x14ac:dyDescent="0.25">
      <c r="A10610" s="3"/>
      <c r="F10610" s="19"/>
      <c r="G10610" s="19"/>
      <c r="N10610" s="19"/>
      <c r="P10610" s="19"/>
      <c r="AL10610" s="19"/>
    </row>
    <row r="10611" spans="1:38" s="11" customFormat="1" x14ac:dyDescent="0.25">
      <c r="A10611" s="3"/>
      <c r="F10611" s="19"/>
      <c r="G10611" s="19"/>
      <c r="N10611" s="19"/>
      <c r="P10611" s="19"/>
      <c r="AL10611" s="19"/>
    </row>
    <row r="10612" spans="1:38" s="11" customFormat="1" x14ac:dyDescent="0.25">
      <c r="A10612" s="3"/>
      <c r="F10612" s="19"/>
      <c r="G10612" s="19"/>
      <c r="N10612" s="19"/>
      <c r="P10612" s="19"/>
      <c r="AL10612" s="19"/>
    </row>
    <row r="10613" spans="1:38" s="11" customFormat="1" x14ac:dyDescent="0.25">
      <c r="A10613" s="3"/>
      <c r="F10613" s="19"/>
      <c r="G10613" s="19"/>
      <c r="N10613" s="19"/>
      <c r="P10613" s="19"/>
      <c r="AL10613" s="19"/>
    </row>
    <row r="10614" spans="1:38" s="11" customFormat="1" x14ac:dyDescent="0.25">
      <c r="A10614" s="3"/>
      <c r="F10614" s="19"/>
      <c r="G10614" s="19"/>
      <c r="N10614" s="19"/>
      <c r="P10614" s="19"/>
      <c r="AL10614" s="19"/>
    </row>
    <row r="10615" spans="1:38" s="11" customFormat="1" x14ac:dyDescent="0.25">
      <c r="A10615" s="3"/>
      <c r="F10615" s="19"/>
      <c r="G10615" s="19"/>
      <c r="N10615" s="19"/>
      <c r="P10615" s="19"/>
      <c r="AL10615" s="19"/>
    </row>
    <row r="10616" spans="1:38" s="11" customFormat="1" x14ac:dyDescent="0.25">
      <c r="A10616" s="3"/>
      <c r="F10616" s="19"/>
      <c r="G10616" s="19"/>
      <c r="N10616" s="19"/>
      <c r="P10616" s="19"/>
      <c r="AL10616" s="19"/>
    </row>
    <row r="10617" spans="1:38" s="11" customFormat="1" x14ac:dyDescent="0.25">
      <c r="A10617" s="3"/>
      <c r="F10617" s="19"/>
      <c r="G10617" s="19"/>
      <c r="N10617" s="19"/>
      <c r="P10617" s="19"/>
      <c r="AL10617" s="19"/>
    </row>
    <row r="10618" spans="1:38" s="11" customFormat="1" x14ac:dyDescent="0.25">
      <c r="A10618" s="3"/>
      <c r="F10618" s="19"/>
      <c r="G10618" s="19"/>
      <c r="N10618" s="19"/>
      <c r="P10618" s="19"/>
      <c r="AL10618" s="19"/>
    </row>
    <row r="10619" spans="1:38" s="11" customFormat="1" x14ac:dyDescent="0.25">
      <c r="A10619" s="3"/>
      <c r="F10619" s="19"/>
      <c r="G10619" s="19"/>
      <c r="N10619" s="19"/>
      <c r="P10619" s="19"/>
      <c r="AL10619" s="19"/>
    </row>
    <row r="10620" spans="1:38" s="11" customFormat="1" x14ac:dyDescent="0.25">
      <c r="A10620" s="3"/>
      <c r="F10620" s="19"/>
      <c r="G10620" s="19"/>
      <c r="N10620" s="19"/>
      <c r="P10620" s="19"/>
      <c r="AL10620" s="19"/>
    </row>
    <row r="10621" spans="1:38" s="11" customFormat="1" x14ac:dyDescent="0.25">
      <c r="A10621" s="3"/>
      <c r="F10621" s="19"/>
      <c r="G10621" s="19"/>
      <c r="N10621" s="19"/>
      <c r="P10621" s="19"/>
      <c r="AL10621" s="19"/>
    </row>
    <row r="10622" spans="1:38" s="11" customFormat="1" x14ac:dyDescent="0.25">
      <c r="A10622" s="3"/>
      <c r="F10622" s="19"/>
      <c r="G10622" s="19"/>
      <c r="N10622" s="19"/>
      <c r="P10622" s="19"/>
      <c r="AL10622" s="19"/>
    </row>
    <row r="10623" spans="1:38" s="11" customFormat="1" x14ac:dyDescent="0.25">
      <c r="A10623" s="3"/>
      <c r="F10623" s="19"/>
      <c r="G10623" s="19"/>
      <c r="N10623" s="19"/>
      <c r="P10623" s="19"/>
      <c r="AL10623" s="19"/>
    </row>
    <row r="10624" spans="1:38" s="11" customFormat="1" x14ac:dyDescent="0.25">
      <c r="A10624" s="3"/>
      <c r="F10624" s="19"/>
      <c r="G10624" s="19"/>
      <c r="N10624" s="19"/>
      <c r="P10624" s="19"/>
      <c r="AL10624" s="19"/>
    </row>
    <row r="10625" spans="1:38" s="11" customFormat="1" x14ac:dyDescent="0.25">
      <c r="A10625" s="3"/>
      <c r="F10625" s="19"/>
      <c r="G10625" s="19"/>
      <c r="N10625" s="19"/>
      <c r="P10625" s="19"/>
      <c r="AL10625" s="19"/>
    </row>
    <row r="10626" spans="1:38" s="11" customFormat="1" x14ac:dyDescent="0.25">
      <c r="A10626" s="3"/>
      <c r="F10626" s="19"/>
      <c r="G10626" s="19"/>
      <c r="N10626" s="19"/>
      <c r="P10626" s="19"/>
      <c r="AL10626" s="19"/>
    </row>
    <row r="10627" spans="1:38" s="11" customFormat="1" x14ac:dyDescent="0.25">
      <c r="A10627" s="3"/>
      <c r="F10627" s="19"/>
      <c r="G10627" s="19"/>
      <c r="N10627" s="19"/>
      <c r="P10627" s="19"/>
      <c r="AL10627" s="19"/>
    </row>
    <row r="10628" spans="1:38" s="11" customFormat="1" x14ac:dyDescent="0.25">
      <c r="A10628" s="3"/>
      <c r="F10628" s="19"/>
      <c r="G10628" s="19"/>
      <c r="N10628" s="19"/>
      <c r="P10628" s="19"/>
      <c r="AL10628" s="19"/>
    </row>
    <row r="10629" spans="1:38" s="11" customFormat="1" x14ac:dyDescent="0.25">
      <c r="A10629" s="3"/>
      <c r="F10629" s="19"/>
      <c r="G10629" s="19"/>
      <c r="N10629" s="19"/>
      <c r="P10629" s="19"/>
      <c r="AL10629" s="19"/>
    </row>
    <row r="10630" spans="1:38" s="11" customFormat="1" x14ac:dyDescent="0.25">
      <c r="A10630" s="3"/>
      <c r="F10630" s="19"/>
      <c r="G10630" s="19"/>
      <c r="N10630" s="19"/>
      <c r="P10630" s="19"/>
      <c r="AL10630" s="19"/>
    </row>
    <row r="10631" spans="1:38" s="11" customFormat="1" x14ac:dyDescent="0.25">
      <c r="A10631" s="3"/>
      <c r="F10631" s="19"/>
      <c r="G10631" s="19"/>
      <c r="N10631" s="19"/>
      <c r="P10631" s="19"/>
      <c r="AL10631" s="19"/>
    </row>
    <row r="10632" spans="1:38" s="11" customFormat="1" x14ac:dyDescent="0.25">
      <c r="A10632" s="3"/>
      <c r="F10632" s="19"/>
      <c r="G10632" s="19"/>
      <c r="N10632" s="19"/>
      <c r="P10632" s="19"/>
      <c r="AL10632" s="19"/>
    </row>
    <row r="10633" spans="1:38" s="11" customFormat="1" x14ac:dyDescent="0.25">
      <c r="A10633" s="3"/>
      <c r="F10633" s="19"/>
      <c r="G10633" s="19"/>
      <c r="N10633" s="19"/>
      <c r="P10633" s="19"/>
      <c r="AL10633" s="19"/>
    </row>
    <row r="10634" spans="1:38" s="11" customFormat="1" x14ac:dyDescent="0.25">
      <c r="A10634" s="3"/>
      <c r="F10634" s="19"/>
      <c r="G10634" s="19"/>
      <c r="N10634" s="19"/>
      <c r="P10634" s="19"/>
      <c r="AL10634" s="19"/>
    </row>
    <row r="10635" spans="1:38" s="11" customFormat="1" x14ac:dyDescent="0.25">
      <c r="A10635" s="3"/>
      <c r="F10635" s="19"/>
      <c r="G10635" s="19"/>
      <c r="N10635" s="19"/>
      <c r="P10635" s="19"/>
      <c r="AL10635" s="19"/>
    </row>
    <row r="10636" spans="1:38" s="11" customFormat="1" x14ac:dyDescent="0.25">
      <c r="A10636" s="3"/>
      <c r="F10636" s="19"/>
      <c r="G10636" s="19"/>
      <c r="N10636" s="19"/>
      <c r="P10636" s="19"/>
      <c r="AL10636" s="19"/>
    </row>
    <row r="10637" spans="1:38" s="11" customFormat="1" x14ac:dyDescent="0.25">
      <c r="A10637" s="3"/>
      <c r="F10637" s="19"/>
      <c r="G10637" s="19"/>
      <c r="N10637" s="19"/>
      <c r="P10637" s="19"/>
      <c r="AL10637" s="19"/>
    </row>
    <row r="10638" spans="1:38" s="11" customFormat="1" x14ac:dyDescent="0.25">
      <c r="A10638" s="3"/>
      <c r="F10638" s="19"/>
      <c r="G10638" s="19"/>
      <c r="N10638" s="19"/>
      <c r="P10638" s="19"/>
      <c r="AL10638" s="19"/>
    </row>
    <row r="10639" spans="1:38" s="11" customFormat="1" x14ac:dyDescent="0.25">
      <c r="A10639" s="3"/>
      <c r="F10639" s="19"/>
      <c r="G10639" s="19"/>
      <c r="N10639" s="19"/>
      <c r="P10639" s="19"/>
      <c r="AL10639" s="19"/>
    </row>
    <row r="10640" spans="1:38" s="11" customFormat="1" x14ac:dyDescent="0.25">
      <c r="A10640" s="3"/>
      <c r="F10640" s="19"/>
      <c r="G10640" s="19"/>
      <c r="N10640" s="19"/>
      <c r="P10640" s="19"/>
      <c r="AL10640" s="19"/>
    </row>
    <row r="10641" spans="1:38" s="11" customFormat="1" x14ac:dyDescent="0.25">
      <c r="A10641" s="3"/>
      <c r="F10641" s="19"/>
      <c r="G10641" s="19"/>
      <c r="N10641" s="19"/>
      <c r="P10641" s="19"/>
      <c r="AL10641" s="19"/>
    </row>
    <row r="10642" spans="1:38" s="11" customFormat="1" x14ac:dyDescent="0.25">
      <c r="A10642" s="3"/>
      <c r="F10642" s="19"/>
      <c r="G10642" s="19"/>
      <c r="N10642" s="19"/>
      <c r="P10642" s="19"/>
      <c r="AL10642" s="19"/>
    </row>
    <row r="10643" spans="1:38" s="11" customFormat="1" x14ac:dyDescent="0.25">
      <c r="A10643" s="3"/>
      <c r="F10643" s="19"/>
      <c r="G10643" s="19"/>
      <c r="N10643" s="19"/>
      <c r="P10643" s="19"/>
      <c r="AL10643" s="19"/>
    </row>
    <row r="10644" spans="1:38" s="11" customFormat="1" x14ac:dyDescent="0.25">
      <c r="A10644" s="3"/>
      <c r="F10644" s="19"/>
      <c r="G10644" s="19"/>
      <c r="N10644" s="19"/>
      <c r="P10644" s="19"/>
      <c r="AL10644" s="19"/>
    </row>
    <row r="10645" spans="1:38" s="11" customFormat="1" x14ac:dyDescent="0.25">
      <c r="A10645" s="3"/>
      <c r="F10645" s="19"/>
      <c r="G10645" s="19"/>
      <c r="N10645" s="19"/>
      <c r="P10645" s="19"/>
      <c r="AL10645" s="19"/>
    </row>
    <row r="10646" spans="1:38" s="11" customFormat="1" x14ac:dyDescent="0.25">
      <c r="A10646" s="3"/>
      <c r="F10646" s="19"/>
      <c r="G10646" s="19"/>
      <c r="N10646" s="19"/>
      <c r="P10646" s="19"/>
      <c r="AL10646" s="19"/>
    </row>
    <row r="10647" spans="1:38" s="11" customFormat="1" x14ac:dyDescent="0.25">
      <c r="A10647" s="3"/>
      <c r="F10647" s="19"/>
      <c r="G10647" s="19"/>
      <c r="N10647" s="19"/>
      <c r="P10647" s="19"/>
      <c r="AL10647" s="19"/>
    </row>
    <row r="10648" spans="1:38" s="11" customFormat="1" x14ac:dyDescent="0.25">
      <c r="A10648" s="3"/>
      <c r="F10648" s="19"/>
      <c r="G10648" s="19"/>
      <c r="N10648" s="19"/>
      <c r="P10648" s="19"/>
      <c r="AL10648" s="19"/>
    </row>
    <row r="10649" spans="1:38" s="11" customFormat="1" x14ac:dyDescent="0.25">
      <c r="A10649" s="3"/>
      <c r="F10649" s="19"/>
      <c r="G10649" s="19"/>
      <c r="N10649" s="19"/>
      <c r="P10649" s="19"/>
      <c r="AL10649" s="19"/>
    </row>
    <row r="10650" spans="1:38" s="11" customFormat="1" x14ac:dyDescent="0.25">
      <c r="A10650" s="3"/>
      <c r="F10650" s="19"/>
      <c r="G10650" s="19"/>
      <c r="N10650" s="19"/>
      <c r="P10650" s="19"/>
      <c r="AL10650" s="19"/>
    </row>
    <row r="10651" spans="1:38" s="11" customFormat="1" x14ac:dyDescent="0.25">
      <c r="A10651" s="3"/>
      <c r="F10651" s="19"/>
      <c r="G10651" s="19"/>
      <c r="N10651" s="19"/>
      <c r="P10651" s="19"/>
      <c r="AL10651" s="19"/>
    </row>
    <row r="10652" spans="1:38" s="11" customFormat="1" x14ac:dyDescent="0.25">
      <c r="A10652" s="3"/>
      <c r="F10652" s="19"/>
      <c r="G10652" s="19"/>
      <c r="N10652" s="19"/>
      <c r="P10652" s="19"/>
      <c r="AL10652" s="19"/>
    </row>
    <row r="10653" spans="1:38" s="11" customFormat="1" x14ac:dyDescent="0.25">
      <c r="A10653" s="3"/>
      <c r="F10653" s="19"/>
      <c r="G10653" s="19"/>
      <c r="N10653" s="19"/>
      <c r="P10653" s="19"/>
      <c r="AL10653" s="19"/>
    </row>
    <row r="10654" spans="1:38" s="11" customFormat="1" x14ac:dyDescent="0.25">
      <c r="A10654" s="3"/>
      <c r="F10654" s="19"/>
      <c r="G10654" s="19"/>
      <c r="N10654" s="19"/>
      <c r="P10654" s="19"/>
      <c r="AL10654" s="19"/>
    </row>
    <row r="10655" spans="1:38" s="11" customFormat="1" x14ac:dyDescent="0.25">
      <c r="A10655" s="3"/>
      <c r="F10655" s="19"/>
      <c r="G10655" s="19"/>
      <c r="N10655" s="19"/>
      <c r="P10655" s="19"/>
      <c r="AL10655" s="19"/>
    </row>
    <row r="10656" spans="1:38" s="11" customFormat="1" x14ac:dyDescent="0.25">
      <c r="A10656" s="3"/>
      <c r="F10656" s="19"/>
      <c r="G10656" s="19"/>
      <c r="N10656" s="19"/>
      <c r="P10656" s="19"/>
      <c r="AL10656" s="19"/>
    </row>
    <row r="10657" spans="1:38" s="11" customFormat="1" x14ac:dyDescent="0.25">
      <c r="A10657" s="3"/>
      <c r="F10657" s="19"/>
      <c r="G10657" s="19"/>
      <c r="N10657" s="19"/>
      <c r="P10657" s="19"/>
      <c r="AL10657" s="19"/>
    </row>
    <row r="10658" spans="1:38" s="11" customFormat="1" x14ac:dyDescent="0.25">
      <c r="A10658" s="3"/>
      <c r="F10658" s="19"/>
      <c r="G10658" s="19"/>
      <c r="N10658" s="19"/>
      <c r="P10658" s="19"/>
      <c r="AL10658" s="19"/>
    </row>
    <row r="10659" spans="1:38" s="11" customFormat="1" x14ac:dyDescent="0.25">
      <c r="A10659" s="3"/>
      <c r="F10659" s="19"/>
      <c r="G10659" s="19"/>
      <c r="N10659" s="19"/>
      <c r="P10659" s="19"/>
      <c r="AL10659" s="19"/>
    </row>
    <row r="10660" spans="1:38" s="11" customFormat="1" x14ac:dyDescent="0.25">
      <c r="A10660" s="3"/>
      <c r="F10660" s="19"/>
      <c r="G10660" s="19"/>
      <c r="N10660" s="19"/>
      <c r="P10660" s="19"/>
      <c r="AL10660" s="19"/>
    </row>
    <row r="10661" spans="1:38" s="11" customFormat="1" x14ac:dyDescent="0.25">
      <c r="A10661" s="3"/>
      <c r="F10661" s="19"/>
      <c r="G10661" s="19"/>
      <c r="N10661" s="19"/>
      <c r="P10661" s="19"/>
      <c r="AL10661" s="19"/>
    </row>
    <row r="10662" spans="1:38" s="11" customFormat="1" x14ac:dyDescent="0.25">
      <c r="A10662" s="3"/>
      <c r="F10662" s="19"/>
      <c r="G10662" s="19"/>
      <c r="N10662" s="19"/>
      <c r="P10662" s="19"/>
      <c r="AL10662" s="19"/>
    </row>
    <row r="10663" spans="1:38" s="11" customFormat="1" x14ac:dyDescent="0.25">
      <c r="A10663" s="3"/>
      <c r="F10663" s="19"/>
      <c r="G10663" s="19"/>
      <c r="N10663" s="19"/>
      <c r="P10663" s="19"/>
      <c r="AL10663" s="19"/>
    </row>
    <row r="10664" spans="1:38" s="11" customFormat="1" x14ac:dyDescent="0.25">
      <c r="A10664" s="3"/>
      <c r="F10664" s="19"/>
      <c r="G10664" s="19"/>
      <c r="N10664" s="19"/>
      <c r="P10664" s="19"/>
      <c r="AL10664" s="19"/>
    </row>
    <row r="10665" spans="1:38" s="11" customFormat="1" x14ac:dyDescent="0.25">
      <c r="A10665" s="3"/>
      <c r="F10665" s="19"/>
      <c r="G10665" s="19"/>
      <c r="N10665" s="19"/>
      <c r="P10665" s="19"/>
      <c r="AL10665" s="19"/>
    </row>
    <row r="10666" spans="1:38" s="11" customFormat="1" x14ac:dyDescent="0.25">
      <c r="A10666" s="3"/>
      <c r="F10666" s="19"/>
      <c r="G10666" s="19"/>
      <c r="N10666" s="19"/>
      <c r="P10666" s="19"/>
      <c r="AL10666" s="19"/>
    </row>
    <row r="10667" spans="1:38" s="11" customFormat="1" x14ac:dyDescent="0.25">
      <c r="A10667" s="3"/>
      <c r="F10667" s="19"/>
      <c r="G10667" s="19"/>
      <c r="N10667" s="19"/>
      <c r="P10667" s="19"/>
      <c r="AL10667" s="19"/>
    </row>
    <row r="10668" spans="1:38" s="11" customFormat="1" x14ac:dyDescent="0.25">
      <c r="A10668" s="3"/>
      <c r="F10668" s="19"/>
      <c r="G10668" s="19"/>
      <c r="N10668" s="19"/>
      <c r="P10668" s="19"/>
      <c r="AL10668" s="19"/>
    </row>
    <row r="10669" spans="1:38" s="11" customFormat="1" x14ac:dyDescent="0.25">
      <c r="A10669" s="3"/>
      <c r="F10669" s="19"/>
      <c r="G10669" s="19"/>
      <c r="N10669" s="19"/>
      <c r="P10669" s="19"/>
      <c r="AL10669" s="19"/>
    </row>
    <row r="10670" spans="1:38" s="11" customFormat="1" x14ac:dyDescent="0.25">
      <c r="A10670" s="3"/>
      <c r="F10670" s="19"/>
      <c r="G10670" s="19"/>
      <c r="N10670" s="19"/>
      <c r="P10670" s="19"/>
      <c r="AL10670" s="19"/>
    </row>
    <row r="10671" spans="1:38" s="11" customFormat="1" x14ac:dyDescent="0.25">
      <c r="A10671" s="3"/>
      <c r="F10671" s="19"/>
      <c r="G10671" s="19"/>
      <c r="N10671" s="19"/>
      <c r="P10671" s="19"/>
      <c r="AL10671" s="19"/>
    </row>
    <row r="10672" spans="1:38" s="11" customFormat="1" x14ac:dyDescent="0.25">
      <c r="A10672" s="3"/>
      <c r="F10672" s="19"/>
      <c r="G10672" s="19"/>
      <c r="N10672" s="19"/>
      <c r="P10672" s="19"/>
      <c r="AL10672" s="19"/>
    </row>
    <row r="10673" spans="1:38" s="11" customFormat="1" x14ac:dyDescent="0.25">
      <c r="A10673" s="3"/>
      <c r="F10673" s="19"/>
      <c r="G10673" s="19"/>
      <c r="N10673" s="19"/>
      <c r="P10673" s="19"/>
      <c r="AL10673" s="19"/>
    </row>
    <row r="10674" spans="1:38" s="11" customFormat="1" x14ac:dyDescent="0.25">
      <c r="A10674" s="3"/>
      <c r="F10674" s="19"/>
      <c r="G10674" s="19"/>
      <c r="N10674" s="19"/>
      <c r="P10674" s="19"/>
      <c r="AL10674" s="19"/>
    </row>
    <row r="10675" spans="1:38" s="11" customFormat="1" x14ac:dyDescent="0.25">
      <c r="A10675" s="3"/>
      <c r="F10675" s="19"/>
      <c r="G10675" s="19"/>
      <c r="N10675" s="19"/>
      <c r="P10675" s="19"/>
      <c r="AL10675" s="19"/>
    </row>
    <row r="10676" spans="1:38" s="11" customFormat="1" x14ac:dyDescent="0.25">
      <c r="A10676" s="3"/>
      <c r="F10676" s="19"/>
      <c r="G10676" s="19"/>
      <c r="N10676" s="19"/>
      <c r="P10676" s="19"/>
      <c r="AL10676" s="19"/>
    </row>
    <row r="10677" spans="1:38" s="11" customFormat="1" x14ac:dyDescent="0.25">
      <c r="A10677" s="3"/>
      <c r="F10677" s="19"/>
      <c r="G10677" s="19"/>
      <c r="N10677" s="19"/>
      <c r="P10677" s="19"/>
      <c r="AL10677" s="19"/>
    </row>
    <row r="10678" spans="1:38" s="11" customFormat="1" x14ac:dyDescent="0.25">
      <c r="A10678" s="3"/>
      <c r="F10678" s="19"/>
      <c r="G10678" s="19"/>
      <c r="N10678" s="19"/>
      <c r="P10678" s="19"/>
      <c r="AL10678" s="19"/>
    </row>
    <row r="10679" spans="1:38" s="11" customFormat="1" x14ac:dyDescent="0.25">
      <c r="A10679" s="3"/>
      <c r="F10679" s="19"/>
      <c r="G10679" s="19"/>
      <c r="N10679" s="19"/>
      <c r="P10679" s="19"/>
      <c r="AL10679" s="19"/>
    </row>
    <row r="10680" spans="1:38" s="11" customFormat="1" x14ac:dyDescent="0.25">
      <c r="A10680" s="3"/>
      <c r="F10680" s="19"/>
      <c r="G10680" s="19"/>
      <c r="N10680" s="19"/>
      <c r="P10680" s="19"/>
      <c r="AL10680" s="19"/>
    </row>
    <row r="10681" spans="1:38" s="11" customFormat="1" x14ac:dyDescent="0.25">
      <c r="A10681" s="3"/>
      <c r="F10681" s="19"/>
      <c r="G10681" s="19"/>
      <c r="N10681" s="19"/>
      <c r="P10681" s="19"/>
      <c r="AL10681" s="19"/>
    </row>
    <row r="10682" spans="1:38" s="11" customFormat="1" x14ac:dyDescent="0.25">
      <c r="A10682" s="3"/>
      <c r="F10682" s="19"/>
      <c r="G10682" s="19"/>
      <c r="N10682" s="19"/>
      <c r="P10682" s="19"/>
      <c r="AL10682" s="19"/>
    </row>
    <row r="10683" spans="1:38" s="11" customFormat="1" x14ac:dyDescent="0.25">
      <c r="A10683" s="3"/>
      <c r="F10683" s="19"/>
      <c r="G10683" s="19"/>
      <c r="N10683" s="19"/>
      <c r="P10683" s="19"/>
      <c r="AL10683" s="19"/>
    </row>
    <row r="10684" spans="1:38" s="11" customFormat="1" x14ac:dyDescent="0.25">
      <c r="A10684" s="3"/>
      <c r="F10684" s="19"/>
      <c r="G10684" s="19"/>
      <c r="N10684" s="19"/>
      <c r="P10684" s="19"/>
      <c r="AL10684" s="19"/>
    </row>
    <row r="10685" spans="1:38" s="11" customFormat="1" x14ac:dyDescent="0.25">
      <c r="A10685" s="3"/>
      <c r="F10685" s="19"/>
      <c r="G10685" s="19"/>
      <c r="N10685" s="19"/>
      <c r="P10685" s="19"/>
      <c r="AL10685" s="19"/>
    </row>
    <row r="10686" spans="1:38" s="11" customFormat="1" x14ac:dyDescent="0.25">
      <c r="A10686" s="3"/>
      <c r="F10686" s="19"/>
      <c r="G10686" s="19"/>
      <c r="N10686" s="19"/>
      <c r="P10686" s="19"/>
      <c r="AL10686" s="19"/>
    </row>
    <row r="10687" spans="1:38" s="11" customFormat="1" x14ac:dyDescent="0.25">
      <c r="A10687" s="3"/>
      <c r="F10687" s="19"/>
      <c r="G10687" s="19"/>
      <c r="N10687" s="19"/>
      <c r="P10687" s="19"/>
      <c r="AL10687" s="19"/>
    </row>
    <row r="10688" spans="1:38" s="11" customFormat="1" x14ac:dyDescent="0.25">
      <c r="A10688" s="3"/>
      <c r="F10688" s="19"/>
      <c r="G10688" s="19"/>
      <c r="N10688" s="19"/>
      <c r="P10688" s="19"/>
      <c r="AL10688" s="19"/>
    </row>
    <row r="10689" spans="1:38" s="11" customFormat="1" x14ac:dyDescent="0.25">
      <c r="A10689" s="3"/>
      <c r="F10689" s="19"/>
      <c r="G10689" s="19"/>
      <c r="N10689" s="19"/>
      <c r="P10689" s="19"/>
      <c r="AL10689" s="19"/>
    </row>
    <row r="10690" spans="1:38" s="11" customFormat="1" x14ac:dyDescent="0.25">
      <c r="A10690" s="3"/>
      <c r="F10690" s="19"/>
      <c r="G10690" s="19"/>
      <c r="N10690" s="19"/>
      <c r="P10690" s="19"/>
      <c r="AL10690" s="19"/>
    </row>
    <row r="10691" spans="1:38" s="11" customFormat="1" x14ac:dyDescent="0.25">
      <c r="A10691" s="3"/>
      <c r="F10691" s="19"/>
      <c r="G10691" s="19"/>
      <c r="N10691" s="19"/>
      <c r="P10691" s="19"/>
      <c r="AL10691" s="19"/>
    </row>
    <row r="10692" spans="1:38" s="11" customFormat="1" x14ac:dyDescent="0.25">
      <c r="A10692" s="3"/>
      <c r="F10692" s="19"/>
      <c r="G10692" s="19"/>
      <c r="N10692" s="19"/>
      <c r="P10692" s="19"/>
      <c r="AL10692" s="19"/>
    </row>
    <row r="10693" spans="1:38" s="11" customFormat="1" x14ac:dyDescent="0.25">
      <c r="A10693" s="3"/>
      <c r="F10693" s="19"/>
      <c r="G10693" s="19"/>
      <c r="N10693" s="19"/>
      <c r="P10693" s="19"/>
      <c r="AL10693" s="19"/>
    </row>
    <row r="10694" spans="1:38" s="11" customFormat="1" x14ac:dyDescent="0.25">
      <c r="A10694" s="3"/>
      <c r="F10694" s="19"/>
      <c r="G10694" s="19"/>
      <c r="N10694" s="19"/>
      <c r="P10694" s="19"/>
      <c r="AL10694" s="19"/>
    </row>
    <row r="10695" spans="1:38" s="11" customFormat="1" x14ac:dyDescent="0.25">
      <c r="A10695" s="3"/>
      <c r="F10695" s="19"/>
      <c r="G10695" s="19"/>
      <c r="N10695" s="19"/>
      <c r="P10695" s="19"/>
      <c r="AL10695" s="19"/>
    </row>
    <row r="10696" spans="1:38" s="11" customFormat="1" x14ac:dyDescent="0.25">
      <c r="A10696" s="3"/>
      <c r="F10696" s="19"/>
      <c r="G10696" s="19"/>
      <c r="N10696" s="19"/>
      <c r="P10696" s="19"/>
      <c r="AL10696" s="19"/>
    </row>
    <row r="10697" spans="1:38" s="11" customFormat="1" x14ac:dyDescent="0.25">
      <c r="A10697" s="3"/>
      <c r="F10697" s="19"/>
      <c r="G10697" s="19"/>
      <c r="N10697" s="19"/>
      <c r="P10697" s="19"/>
      <c r="AL10697" s="19"/>
    </row>
    <row r="10698" spans="1:38" s="11" customFormat="1" x14ac:dyDescent="0.25">
      <c r="A10698" s="3"/>
      <c r="F10698" s="19"/>
      <c r="G10698" s="19"/>
      <c r="N10698" s="19"/>
      <c r="P10698" s="19"/>
      <c r="AL10698" s="19"/>
    </row>
    <row r="10699" spans="1:38" s="11" customFormat="1" x14ac:dyDescent="0.25">
      <c r="A10699" s="3"/>
      <c r="F10699" s="19"/>
      <c r="G10699" s="19"/>
      <c r="N10699" s="19"/>
      <c r="P10699" s="19"/>
      <c r="AL10699" s="19"/>
    </row>
    <row r="10700" spans="1:38" s="11" customFormat="1" x14ac:dyDescent="0.25">
      <c r="A10700" s="3"/>
      <c r="F10700" s="19"/>
      <c r="G10700" s="19"/>
      <c r="N10700" s="19"/>
      <c r="P10700" s="19"/>
      <c r="AL10700" s="19"/>
    </row>
    <row r="10701" spans="1:38" s="11" customFormat="1" x14ac:dyDescent="0.25">
      <c r="A10701" s="3"/>
      <c r="F10701" s="19"/>
      <c r="G10701" s="19"/>
      <c r="N10701" s="19"/>
      <c r="P10701" s="19"/>
      <c r="AL10701" s="19"/>
    </row>
    <row r="10702" spans="1:38" s="11" customFormat="1" x14ac:dyDescent="0.25">
      <c r="A10702" s="3"/>
      <c r="F10702" s="19"/>
      <c r="G10702" s="19"/>
      <c r="N10702" s="19"/>
      <c r="P10702" s="19"/>
      <c r="AL10702" s="19"/>
    </row>
    <row r="10703" spans="1:38" s="11" customFormat="1" x14ac:dyDescent="0.25">
      <c r="A10703" s="3"/>
      <c r="F10703" s="19"/>
      <c r="G10703" s="19"/>
      <c r="N10703" s="19"/>
      <c r="P10703" s="19"/>
      <c r="AL10703" s="19"/>
    </row>
    <row r="10704" spans="1:38" s="11" customFormat="1" x14ac:dyDescent="0.25">
      <c r="A10704" s="3"/>
      <c r="F10704" s="19"/>
      <c r="G10704" s="19"/>
      <c r="N10704" s="19"/>
      <c r="P10704" s="19"/>
      <c r="AL10704" s="19"/>
    </row>
    <row r="10705" spans="1:38" s="11" customFormat="1" x14ac:dyDescent="0.25">
      <c r="A10705" s="3"/>
      <c r="F10705" s="19"/>
      <c r="G10705" s="19"/>
      <c r="N10705" s="19"/>
      <c r="P10705" s="19"/>
      <c r="AL10705" s="19"/>
    </row>
    <row r="10706" spans="1:38" s="11" customFormat="1" x14ac:dyDescent="0.25">
      <c r="A10706" s="3"/>
      <c r="F10706" s="19"/>
      <c r="G10706" s="19"/>
      <c r="N10706" s="19"/>
      <c r="P10706" s="19"/>
      <c r="AL10706" s="19"/>
    </row>
    <row r="10707" spans="1:38" s="11" customFormat="1" x14ac:dyDescent="0.25">
      <c r="A10707" s="3"/>
      <c r="F10707" s="19"/>
      <c r="G10707" s="19"/>
      <c r="N10707" s="19"/>
      <c r="P10707" s="19"/>
      <c r="AL10707" s="19"/>
    </row>
    <row r="10708" spans="1:38" s="11" customFormat="1" x14ac:dyDescent="0.25">
      <c r="A10708" s="3"/>
      <c r="F10708" s="19"/>
      <c r="G10708" s="19"/>
      <c r="N10708" s="19"/>
      <c r="P10708" s="19"/>
      <c r="AL10708" s="19"/>
    </row>
    <row r="10709" spans="1:38" s="11" customFormat="1" x14ac:dyDescent="0.25">
      <c r="A10709" s="3"/>
      <c r="F10709" s="19"/>
      <c r="G10709" s="19"/>
      <c r="N10709" s="19"/>
      <c r="P10709" s="19"/>
      <c r="AL10709" s="19"/>
    </row>
    <row r="10710" spans="1:38" s="11" customFormat="1" x14ac:dyDescent="0.25">
      <c r="A10710" s="3"/>
      <c r="F10710" s="19"/>
      <c r="G10710" s="19"/>
      <c r="N10710" s="19"/>
      <c r="P10710" s="19"/>
      <c r="AL10710" s="19"/>
    </row>
    <row r="10711" spans="1:38" s="11" customFormat="1" x14ac:dyDescent="0.25">
      <c r="A10711" s="3"/>
      <c r="F10711" s="19"/>
      <c r="G10711" s="19"/>
      <c r="N10711" s="19"/>
      <c r="P10711" s="19"/>
      <c r="AL10711" s="19"/>
    </row>
    <row r="10712" spans="1:38" s="11" customFormat="1" x14ac:dyDescent="0.25">
      <c r="A10712" s="3"/>
      <c r="F10712" s="19"/>
      <c r="G10712" s="19"/>
      <c r="N10712" s="19"/>
      <c r="P10712" s="19"/>
      <c r="AL10712" s="19"/>
    </row>
    <row r="10713" spans="1:38" s="11" customFormat="1" x14ac:dyDescent="0.25">
      <c r="A10713" s="3"/>
      <c r="F10713" s="19"/>
      <c r="G10713" s="19"/>
      <c r="N10713" s="19"/>
      <c r="P10713" s="19"/>
      <c r="AL10713" s="19"/>
    </row>
    <row r="10714" spans="1:38" s="11" customFormat="1" x14ac:dyDescent="0.25">
      <c r="A10714" s="3"/>
      <c r="F10714" s="19"/>
      <c r="G10714" s="19"/>
      <c r="N10714" s="19"/>
      <c r="P10714" s="19"/>
      <c r="AL10714" s="19"/>
    </row>
    <row r="10715" spans="1:38" s="11" customFormat="1" x14ac:dyDescent="0.25">
      <c r="A10715" s="3"/>
      <c r="F10715" s="19"/>
      <c r="G10715" s="19"/>
      <c r="N10715" s="19"/>
      <c r="P10715" s="19"/>
      <c r="AL10715" s="19"/>
    </row>
    <row r="10716" spans="1:38" s="11" customFormat="1" x14ac:dyDescent="0.25">
      <c r="A10716" s="3"/>
      <c r="F10716" s="19"/>
      <c r="G10716" s="19"/>
      <c r="N10716" s="19"/>
      <c r="P10716" s="19"/>
      <c r="AL10716" s="19"/>
    </row>
    <row r="10717" spans="1:38" s="11" customFormat="1" x14ac:dyDescent="0.25">
      <c r="A10717" s="3"/>
      <c r="F10717" s="19"/>
      <c r="G10717" s="19"/>
      <c r="N10717" s="19"/>
      <c r="P10717" s="19"/>
      <c r="AL10717" s="19"/>
    </row>
    <row r="10718" spans="1:38" s="11" customFormat="1" x14ac:dyDescent="0.25">
      <c r="A10718" s="3"/>
      <c r="F10718" s="19"/>
      <c r="G10718" s="19"/>
      <c r="N10718" s="19"/>
      <c r="P10718" s="19"/>
      <c r="AL10718" s="19"/>
    </row>
    <row r="10719" spans="1:38" s="11" customFormat="1" x14ac:dyDescent="0.25">
      <c r="A10719" s="3"/>
      <c r="F10719" s="19"/>
      <c r="G10719" s="19"/>
      <c r="N10719" s="19"/>
      <c r="P10719" s="19"/>
      <c r="AL10719" s="19"/>
    </row>
    <row r="10720" spans="1:38" s="11" customFormat="1" x14ac:dyDescent="0.25">
      <c r="A10720" s="3"/>
      <c r="F10720" s="19"/>
      <c r="G10720" s="19"/>
      <c r="N10720" s="19"/>
      <c r="P10720" s="19"/>
      <c r="AL10720" s="19"/>
    </row>
    <row r="10721" spans="1:38" s="11" customFormat="1" x14ac:dyDescent="0.25">
      <c r="A10721" s="3"/>
      <c r="F10721" s="19"/>
      <c r="G10721" s="19"/>
      <c r="N10721" s="19"/>
      <c r="P10721" s="19"/>
      <c r="AL10721" s="19"/>
    </row>
    <row r="10722" spans="1:38" s="11" customFormat="1" x14ac:dyDescent="0.25">
      <c r="A10722" s="3"/>
      <c r="F10722" s="19"/>
      <c r="G10722" s="19"/>
      <c r="N10722" s="19"/>
      <c r="P10722" s="19"/>
      <c r="AL10722" s="19"/>
    </row>
    <row r="10723" spans="1:38" s="11" customFormat="1" x14ac:dyDescent="0.25">
      <c r="A10723" s="3"/>
      <c r="F10723" s="19"/>
      <c r="G10723" s="19"/>
      <c r="N10723" s="19"/>
      <c r="P10723" s="19"/>
      <c r="AL10723" s="19"/>
    </row>
    <row r="10724" spans="1:38" s="11" customFormat="1" x14ac:dyDescent="0.25">
      <c r="A10724" s="3"/>
      <c r="F10724" s="19"/>
      <c r="G10724" s="19"/>
      <c r="N10724" s="19"/>
      <c r="P10724" s="19"/>
      <c r="AL10724" s="19"/>
    </row>
    <row r="10725" spans="1:38" s="11" customFormat="1" x14ac:dyDescent="0.25">
      <c r="A10725" s="3"/>
      <c r="F10725" s="19"/>
      <c r="G10725" s="19"/>
      <c r="N10725" s="19"/>
      <c r="P10725" s="19"/>
      <c r="AL10725" s="19"/>
    </row>
    <row r="10726" spans="1:38" s="11" customFormat="1" x14ac:dyDescent="0.25">
      <c r="A10726" s="3"/>
      <c r="F10726" s="19"/>
      <c r="G10726" s="19"/>
      <c r="N10726" s="19"/>
      <c r="P10726" s="19"/>
      <c r="AL10726" s="19"/>
    </row>
    <row r="10727" spans="1:38" s="11" customFormat="1" x14ac:dyDescent="0.25">
      <c r="A10727" s="3"/>
      <c r="F10727" s="19"/>
      <c r="G10727" s="19"/>
      <c r="N10727" s="19"/>
      <c r="P10727" s="19"/>
      <c r="AL10727" s="19"/>
    </row>
    <row r="10728" spans="1:38" s="11" customFormat="1" x14ac:dyDescent="0.25">
      <c r="A10728" s="3"/>
      <c r="F10728" s="19"/>
      <c r="G10728" s="19"/>
      <c r="N10728" s="19"/>
      <c r="P10728" s="19"/>
      <c r="AL10728" s="19"/>
    </row>
    <row r="10729" spans="1:38" s="11" customFormat="1" x14ac:dyDescent="0.25">
      <c r="A10729" s="3"/>
      <c r="F10729" s="19"/>
      <c r="G10729" s="19"/>
      <c r="N10729" s="19"/>
      <c r="P10729" s="19"/>
      <c r="AL10729" s="19"/>
    </row>
    <row r="10730" spans="1:38" s="11" customFormat="1" x14ac:dyDescent="0.25">
      <c r="A10730" s="3"/>
      <c r="F10730" s="19"/>
      <c r="G10730" s="19"/>
      <c r="N10730" s="19"/>
      <c r="P10730" s="19"/>
      <c r="AL10730" s="19"/>
    </row>
    <row r="10731" spans="1:38" s="11" customFormat="1" x14ac:dyDescent="0.25">
      <c r="A10731" s="3"/>
      <c r="F10731" s="19"/>
      <c r="G10731" s="19"/>
      <c r="N10731" s="19"/>
      <c r="P10731" s="19"/>
      <c r="AL10731" s="19"/>
    </row>
    <row r="10732" spans="1:38" s="11" customFormat="1" x14ac:dyDescent="0.25">
      <c r="A10732" s="3"/>
      <c r="F10732" s="19"/>
      <c r="G10732" s="19"/>
      <c r="N10732" s="19"/>
      <c r="P10732" s="19"/>
      <c r="AL10732" s="19"/>
    </row>
    <row r="10733" spans="1:38" s="11" customFormat="1" x14ac:dyDescent="0.25">
      <c r="A10733" s="3"/>
      <c r="F10733" s="19"/>
      <c r="G10733" s="19"/>
      <c r="N10733" s="19"/>
      <c r="P10733" s="19"/>
      <c r="AL10733" s="19"/>
    </row>
    <row r="10734" spans="1:38" s="11" customFormat="1" x14ac:dyDescent="0.25">
      <c r="A10734" s="3"/>
      <c r="F10734" s="19"/>
      <c r="G10734" s="19"/>
      <c r="N10734" s="19"/>
      <c r="P10734" s="19"/>
      <c r="AL10734" s="19"/>
    </row>
    <row r="10735" spans="1:38" s="11" customFormat="1" x14ac:dyDescent="0.25">
      <c r="A10735" s="3"/>
      <c r="F10735" s="19"/>
      <c r="G10735" s="19"/>
      <c r="N10735" s="19"/>
      <c r="P10735" s="19"/>
      <c r="AL10735" s="19"/>
    </row>
    <row r="10736" spans="1:38" s="11" customFormat="1" x14ac:dyDescent="0.25">
      <c r="A10736" s="3"/>
      <c r="F10736" s="19"/>
      <c r="G10736" s="19"/>
      <c r="N10736" s="19"/>
      <c r="P10736" s="19"/>
      <c r="AL10736" s="19"/>
    </row>
    <row r="10737" spans="1:38" s="11" customFormat="1" x14ac:dyDescent="0.25">
      <c r="A10737" s="3"/>
      <c r="F10737" s="19"/>
      <c r="G10737" s="19"/>
      <c r="N10737" s="19"/>
      <c r="P10737" s="19"/>
      <c r="AL10737" s="19"/>
    </row>
    <row r="10738" spans="1:38" s="11" customFormat="1" x14ac:dyDescent="0.25">
      <c r="A10738" s="3"/>
      <c r="F10738" s="19"/>
      <c r="G10738" s="19"/>
      <c r="N10738" s="19"/>
      <c r="P10738" s="19"/>
      <c r="AL10738" s="19"/>
    </row>
    <row r="10739" spans="1:38" s="11" customFormat="1" x14ac:dyDescent="0.25">
      <c r="A10739" s="3"/>
      <c r="F10739" s="19"/>
      <c r="G10739" s="19"/>
      <c r="N10739" s="19"/>
      <c r="P10739" s="19"/>
      <c r="AL10739" s="19"/>
    </row>
    <row r="10740" spans="1:38" s="11" customFormat="1" x14ac:dyDescent="0.25">
      <c r="A10740" s="3"/>
      <c r="F10740" s="19"/>
      <c r="G10740" s="19"/>
      <c r="N10740" s="19"/>
      <c r="P10740" s="19"/>
      <c r="AL10740" s="19"/>
    </row>
    <row r="10741" spans="1:38" s="11" customFormat="1" x14ac:dyDescent="0.25">
      <c r="A10741" s="3"/>
      <c r="F10741" s="19"/>
      <c r="G10741" s="19"/>
      <c r="N10741" s="19"/>
      <c r="P10741" s="19"/>
      <c r="AL10741" s="19"/>
    </row>
    <row r="10742" spans="1:38" s="11" customFormat="1" x14ac:dyDescent="0.25">
      <c r="A10742" s="3"/>
      <c r="F10742" s="19"/>
      <c r="G10742" s="19"/>
      <c r="N10742" s="19"/>
      <c r="P10742" s="19"/>
      <c r="AL10742" s="19"/>
    </row>
    <row r="10743" spans="1:38" s="11" customFormat="1" x14ac:dyDescent="0.25">
      <c r="A10743" s="3"/>
      <c r="F10743" s="19"/>
      <c r="G10743" s="19"/>
      <c r="N10743" s="19"/>
      <c r="P10743" s="19"/>
      <c r="AL10743" s="19"/>
    </row>
    <row r="10744" spans="1:38" s="11" customFormat="1" x14ac:dyDescent="0.25">
      <c r="A10744" s="3"/>
      <c r="F10744" s="19"/>
      <c r="G10744" s="19"/>
      <c r="N10744" s="19"/>
      <c r="P10744" s="19"/>
      <c r="AL10744" s="19"/>
    </row>
    <row r="10745" spans="1:38" s="11" customFormat="1" x14ac:dyDescent="0.25">
      <c r="A10745" s="3"/>
      <c r="F10745" s="19"/>
      <c r="G10745" s="19"/>
      <c r="N10745" s="19"/>
      <c r="P10745" s="19"/>
      <c r="AL10745" s="19"/>
    </row>
    <row r="10746" spans="1:38" s="11" customFormat="1" x14ac:dyDescent="0.25">
      <c r="A10746" s="3"/>
      <c r="F10746" s="19"/>
      <c r="G10746" s="19"/>
      <c r="N10746" s="19"/>
      <c r="P10746" s="19"/>
      <c r="AL10746" s="19"/>
    </row>
    <row r="10747" spans="1:38" s="11" customFormat="1" x14ac:dyDescent="0.25">
      <c r="A10747" s="3"/>
      <c r="F10747" s="19"/>
      <c r="G10747" s="19"/>
      <c r="N10747" s="19"/>
      <c r="P10747" s="19"/>
      <c r="AL10747" s="19"/>
    </row>
    <row r="10748" spans="1:38" s="11" customFormat="1" x14ac:dyDescent="0.25">
      <c r="A10748" s="3"/>
      <c r="F10748" s="19"/>
      <c r="G10748" s="19"/>
      <c r="N10748" s="19"/>
      <c r="P10748" s="19"/>
      <c r="AL10748" s="19"/>
    </row>
    <row r="10749" spans="1:38" s="11" customFormat="1" x14ac:dyDescent="0.25">
      <c r="A10749" s="3"/>
      <c r="F10749" s="19"/>
      <c r="G10749" s="19"/>
      <c r="N10749" s="19"/>
      <c r="P10749" s="19"/>
      <c r="AL10749" s="19"/>
    </row>
    <row r="10750" spans="1:38" s="11" customFormat="1" x14ac:dyDescent="0.25">
      <c r="A10750" s="3"/>
      <c r="F10750" s="19"/>
      <c r="G10750" s="19"/>
      <c r="N10750" s="19"/>
      <c r="P10750" s="19"/>
      <c r="AL10750" s="19"/>
    </row>
    <row r="10751" spans="1:38" s="11" customFormat="1" x14ac:dyDescent="0.25">
      <c r="A10751" s="3"/>
      <c r="F10751" s="19"/>
      <c r="G10751" s="19"/>
      <c r="N10751" s="19"/>
      <c r="P10751" s="19"/>
      <c r="AL10751" s="19"/>
    </row>
    <row r="10752" spans="1:38" s="11" customFormat="1" x14ac:dyDescent="0.25">
      <c r="A10752" s="3"/>
      <c r="F10752" s="19"/>
      <c r="G10752" s="19"/>
      <c r="N10752" s="19"/>
      <c r="P10752" s="19"/>
      <c r="AL10752" s="19"/>
    </row>
    <row r="10753" spans="1:38" s="11" customFormat="1" x14ac:dyDescent="0.25">
      <c r="A10753" s="3"/>
      <c r="F10753" s="19"/>
      <c r="G10753" s="19"/>
      <c r="N10753" s="19"/>
      <c r="P10753" s="19"/>
      <c r="AL10753" s="19"/>
    </row>
    <row r="10754" spans="1:38" s="11" customFormat="1" x14ac:dyDescent="0.25">
      <c r="A10754" s="3"/>
      <c r="F10754" s="19"/>
      <c r="G10754" s="19"/>
      <c r="N10754" s="19"/>
      <c r="P10754" s="19"/>
      <c r="AL10754" s="19"/>
    </row>
    <row r="10755" spans="1:38" s="11" customFormat="1" x14ac:dyDescent="0.25">
      <c r="A10755" s="3"/>
      <c r="F10755" s="19"/>
      <c r="G10755" s="19"/>
      <c r="N10755" s="19"/>
      <c r="P10755" s="19"/>
      <c r="AL10755" s="19"/>
    </row>
    <row r="10756" spans="1:38" s="11" customFormat="1" x14ac:dyDescent="0.25">
      <c r="A10756" s="3"/>
      <c r="F10756" s="19"/>
      <c r="G10756" s="19"/>
      <c r="N10756" s="19"/>
      <c r="P10756" s="19"/>
      <c r="AL10756" s="19"/>
    </row>
    <row r="10757" spans="1:38" s="11" customFormat="1" x14ac:dyDescent="0.25">
      <c r="A10757" s="3"/>
      <c r="F10757" s="19"/>
      <c r="G10757" s="19"/>
      <c r="N10757" s="19"/>
      <c r="P10757" s="19"/>
      <c r="AL10757" s="19"/>
    </row>
    <row r="10758" spans="1:38" s="11" customFormat="1" x14ac:dyDescent="0.25">
      <c r="A10758" s="3"/>
      <c r="F10758" s="19"/>
      <c r="G10758" s="19"/>
      <c r="N10758" s="19"/>
      <c r="P10758" s="19"/>
      <c r="AL10758" s="19"/>
    </row>
    <row r="10759" spans="1:38" s="11" customFormat="1" x14ac:dyDescent="0.25">
      <c r="A10759" s="3"/>
      <c r="F10759" s="19"/>
      <c r="G10759" s="19"/>
      <c r="N10759" s="19"/>
      <c r="P10759" s="19"/>
      <c r="AL10759" s="19"/>
    </row>
    <row r="10760" spans="1:38" s="11" customFormat="1" x14ac:dyDescent="0.25">
      <c r="A10760" s="3"/>
      <c r="F10760" s="19"/>
      <c r="G10760" s="19"/>
      <c r="N10760" s="19"/>
      <c r="P10760" s="19"/>
      <c r="AL10760" s="19"/>
    </row>
    <row r="10761" spans="1:38" s="11" customFormat="1" x14ac:dyDescent="0.25">
      <c r="A10761" s="3"/>
      <c r="F10761" s="19"/>
      <c r="G10761" s="19"/>
      <c r="N10761" s="19"/>
      <c r="P10761" s="19"/>
      <c r="AL10761" s="19"/>
    </row>
    <row r="10762" spans="1:38" s="11" customFormat="1" x14ac:dyDescent="0.25">
      <c r="A10762" s="3"/>
      <c r="F10762" s="19"/>
      <c r="G10762" s="19"/>
      <c r="N10762" s="19"/>
      <c r="P10762" s="19"/>
      <c r="AL10762" s="19"/>
    </row>
    <row r="10763" spans="1:38" s="11" customFormat="1" x14ac:dyDescent="0.25">
      <c r="A10763" s="3"/>
      <c r="F10763" s="19"/>
      <c r="G10763" s="19"/>
      <c r="N10763" s="19"/>
      <c r="P10763" s="19"/>
      <c r="AL10763" s="19"/>
    </row>
    <row r="10764" spans="1:38" s="11" customFormat="1" x14ac:dyDescent="0.25">
      <c r="A10764" s="3"/>
      <c r="F10764" s="19"/>
      <c r="G10764" s="19"/>
      <c r="N10764" s="19"/>
      <c r="P10764" s="19"/>
      <c r="AL10764" s="19"/>
    </row>
    <row r="10765" spans="1:38" s="11" customFormat="1" x14ac:dyDescent="0.25">
      <c r="A10765" s="3"/>
      <c r="F10765" s="19"/>
      <c r="G10765" s="19"/>
      <c r="N10765" s="19"/>
      <c r="P10765" s="19"/>
      <c r="AL10765" s="19"/>
    </row>
    <row r="10766" spans="1:38" s="11" customFormat="1" x14ac:dyDescent="0.25">
      <c r="A10766" s="3"/>
      <c r="F10766" s="19"/>
      <c r="G10766" s="19"/>
      <c r="N10766" s="19"/>
      <c r="P10766" s="19"/>
      <c r="AL10766" s="19"/>
    </row>
    <row r="10767" spans="1:38" s="11" customFormat="1" x14ac:dyDescent="0.25">
      <c r="A10767" s="3"/>
      <c r="F10767" s="19"/>
      <c r="G10767" s="19"/>
      <c r="N10767" s="19"/>
      <c r="P10767" s="19"/>
      <c r="AL10767" s="19"/>
    </row>
    <row r="10768" spans="1:38" s="11" customFormat="1" x14ac:dyDescent="0.25">
      <c r="A10768" s="3"/>
      <c r="F10768" s="19"/>
      <c r="G10768" s="19"/>
      <c r="N10768" s="19"/>
      <c r="P10768" s="19"/>
      <c r="AL10768" s="19"/>
    </row>
    <row r="10769" spans="1:38" s="11" customFormat="1" x14ac:dyDescent="0.25">
      <c r="A10769" s="3"/>
      <c r="F10769" s="19"/>
      <c r="G10769" s="19"/>
      <c r="N10769" s="19"/>
      <c r="P10769" s="19"/>
      <c r="AL10769" s="19"/>
    </row>
    <row r="10770" spans="1:38" s="11" customFormat="1" x14ac:dyDescent="0.25">
      <c r="A10770" s="3"/>
      <c r="F10770" s="19"/>
      <c r="G10770" s="19"/>
      <c r="N10770" s="19"/>
      <c r="P10770" s="19"/>
      <c r="AL10770" s="19"/>
    </row>
    <row r="10771" spans="1:38" s="11" customFormat="1" x14ac:dyDescent="0.25">
      <c r="A10771" s="3"/>
      <c r="F10771" s="19"/>
      <c r="G10771" s="19"/>
      <c r="N10771" s="19"/>
      <c r="P10771" s="19"/>
      <c r="AL10771" s="19"/>
    </row>
    <row r="10772" spans="1:38" s="11" customFormat="1" x14ac:dyDescent="0.25">
      <c r="A10772" s="3"/>
      <c r="F10772" s="19"/>
      <c r="G10772" s="19"/>
      <c r="N10772" s="19"/>
      <c r="P10772" s="19"/>
      <c r="AL10772" s="19"/>
    </row>
    <row r="10773" spans="1:38" s="11" customFormat="1" x14ac:dyDescent="0.25">
      <c r="A10773" s="3"/>
      <c r="F10773" s="19"/>
      <c r="G10773" s="19"/>
      <c r="N10773" s="19"/>
      <c r="P10773" s="19"/>
      <c r="AL10773" s="19"/>
    </row>
    <row r="10774" spans="1:38" s="11" customFormat="1" x14ac:dyDescent="0.25">
      <c r="A10774" s="3"/>
      <c r="F10774" s="19"/>
      <c r="G10774" s="19"/>
      <c r="N10774" s="19"/>
      <c r="P10774" s="19"/>
      <c r="AL10774" s="19"/>
    </row>
    <row r="10775" spans="1:38" s="11" customFormat="1" x14ac:dyDescent="0.25">
      <c r="A10775" s="3"/>
      <c r="F10775" s="19"/>
      <c r="G10775" s="19"/>
      <c r="N10775" s="19"/>
      <c r="P10775" s="19"/>
      <c r="AL10775" s="19"/>
    </row>
    <row r="10776" spans="1:38" s="11" customFormat="1" x14ac:dyDescent="0.25">
      <c r="A10776" s="3"/>
      <c r="F10776" s="19"/>
      <c r="G10776" s="19"/>
      <c r="N10776" s="19"/>
      <c r="P10776" s="19"/>
      <c r="AL10776" s="19"/>
    </row>
    <row r="10777" spans="1:38" s="11" customFormat="1" x14ac:dyDescent="0.25">
      <c r="A10777" s="3"/>
      <c r="F10777" s="19"/>
      <c r="G10777" s="19"/>
      <c r="N10777" s="19"/>
      <c r="P10777" s="19"/>
      <c r="AL10777" s="19"/>
    </row>
    <row r="10778" spans="1:38" s="11" customFormat="1" x14ac:dyDescent="0.25">
      <c r="A10778" s="3"/>
      <c r="F10778" s="19"/>
      <c r="G10778" s="19"/>
      <c r="N10778" s="19"/>
      <c r="P10778" s="19"/>
      <c r="AL10778" s="19"/>
    </row>
    <row r="10779" spans="1:38" s="11" customFormat="1" x14ac:dyDescent="0.25">
      <c r="A10779" s="3"/>
      <c r="F10779" s="19"/>
      <c r="G10779" s="19"/>
      <c r="N10779" s="19"/>
      <c r="P10779" s="19"/>
      <c r="AL10779" s="19"/>
    </row>
    <row r="10780" spans="1:38" s="11" customFormat="1" x14ac:dyDescent="0.25">
      <c r="A10780" s="3"/>
      <c r="F10780" s="19"/>
      <c r="G10780" s="19"/>
      <c r="N10780" s="19"/>
      <c r="P10780" s="19"/>
      <c r="AL10780" s="19"/>
    </row>
    <row r="10781" spans="1:38" s="11" customFormat="1" x14ac:dyDescent="0.25">
      <c r="A10781" s="3"/>
      <c r="F10781" s="19"/>
      <c r="G10781" s="19"/>
      <c r="N10781" s="19"/>
      <c r="P10781" s="19"/>
      <c r="AL10781" s="19"/>
    </row>
    <row r="10782" spans="1:38" s="11" customFormat="1" x14ac:dyDescent="0.25">
      <c r="A10782" s="3"/>
      <c r="F10782" s="19"/>
      <c r="G10782" s="19"/>
      <c r="N10782" s="19"/>
      <c r="P10782" s="19"/>
      <c r="AL10782" s="19"/>
    </row>
    <row r="10783" spans="1:38" s="11" customFormat="1" x14ac:dyDescent="0.25">
      <c r="A10783" s="3"/>
      <c r="F10783" s="19"/>
      <c r="G10783" s="19"/>
      <c r="N10783" s="19"/>
      <c r="P10783" s="19"/>
      <c r="AL10783" s="19"/>
    </row>
    <row r="10784" spans="1:38" s="11" customFormat="1" x14ac:dyDescent="0.25">
      <c r="A10784" s="3"/>
      <c r="F10784" s="19"/>
      <c r="G10784" s="19"/>
      <c r="N10784" s="19"/>
      <c r="P10784" s="19"/>
      <c r="AL10784" s="19"/>
    </row>
    <row r="10785" spans="1:38" s="11" customFormat="1" x14ac:dyDescent="0.25">
      <c r="A10785" s="3"/>
      <c r="F10785" s="19"/>
      <c r="G10785" s="19"/>
      <c r="N10785" s="19"/>
      <c r="P10785" s="19"/>
      <c r="AL10785" s="19"/>
    </row>
    <row r="10786" spans="1:38" s="11" customFormat="1" x14ac:dyDescent="0.25">
      <c r="A10786" s="3"/>
      <c r="F10786" s="19"/>
      <c r="G10786" s="19"/>
      <c r="N10786" s="19"/>
      <c r="P10786" s="19"/>
      <c r="AL10786" s="19"/>
    </row>
    <row r="10787" spans="1:38" s="11" customFormat="1" x14ac:dyDescent="0.25">
      <c r="A10787" s="3"/>
      <c r="F10787" s="19"/>
      <c r="G10787" s="19"/>
      <c r="N10787" s="19"/>
      <c r="P10787" s="19"/>
      <c r="AL10787" s="19"/>
    </row>
    <row r="10788" spans="1:38" s="11" customFormat="1" x14ac:dyDescent="0.25">
      <c r="A10788" s="3"/>
      <c r="F10788" s="19"/>
      <c r="G10788" s="19"/>
      <c r="N10788" s="19"/>
      <c r="P10788" s="19"/>
      <c r="AL10788" s="19"/>
    </row>
    <row r="10789" spans="1:38" s="11" customFormat="1" x14ac:dyDescent="0.25">
      <c r="A10789" s="3"/>
      <c r="F10789" s="19"/>
      <c r="G10789" s="19"/>
      <c r="N10789" s="19"/>
      <c r="P10789" s="19"/>
      <c r="AL10789" s="19"/>
    </row>
    <row r="10790" spans="1:38" s="11" customFormat="1" x14ac:dyDescent="0.25">
      <c r="A10790" s="3"/>
      <c r="F10790" s="19"/>
      <c r="G10790" s="19"/>
      <c r="N10790" s="19"/>
      <c r="P10790" s="19"/>
      <c r="AL10790" s="19"/>
    </row>
    <row r="10791" spans="1:38" s="11" customFormat="1" x14ac:dyDescent="0.25">
      <c r="A10791" s="3"/>
      <c r="F10791" s="19"/>
      <c r="G10791" s="19"/>
      <c r="N10791" s="19"/>
      <c r="P10791" s="19"/>
      <c r="AL10791" s="19"/>
    </row>
    <row r="10792" spans="1:38" s="11" customFormat="1" x14ac:dyDescent="0.25">
      <c r="A10792" s="3"/>
      <c r="F10792" s="19"/>
      <c r="G10792" s="19"/>
      <c r="N10792" s="19"/>
      <c r="P10792" s="19"/>
      <c r="AL10792" s="19"/>
    </row>
    <row r="10793" spans="1:38" s="11" customFormat="1" x14ac:dyDescent="0.25">
      <c r="A10793" s="3"/>
      <c r="F10793" s="19"/>
      <c r="G10793" s="19"/>
      <c r="N10793" s="19"/>
      <c r="P10793" s="19"/>
      <c r="AL10793" s="19"/>
    </row>
    <row r="10794" spans="1:38" s="11" customFormat="1" x14ac:dyDescent="0.25">
      <c r="A10794" s="3"/>
      <c r="F10794" s="19"/>
      <c r="G10794" s="19"/>
      <c r="N10794" s="19"/>
      <c r="P10794" s="19"/>
      <c r="AL10794" s="19"/>
    </row>
    <row r="10795" spans="1:38" s="11" customFormat="1" x14ac:dyDescent="0.25">
      <c r="A10795" s="3"/>
      <c r="F10795" s="19"/>
      <c r="G10795" s="19"/>
      <c r="N10795" s="19"/>
      <c r="P10795" s="19"/>
      <c r="AL10795" s="19"/>
    </row>
    <row r="10796" spans="1:38" s="11" customFormat="1" x14ac:dyDescent="0.25">
      <c r="A10796" s="3"/>
      <c r="F10796" s="19"/>
      <c r="G10796" s="19"/>
      <c r="N10796" s="19"/>
      <c r="P10796" s="19"/>
      <c r="AL10796" s="19"/>
    </row>
    <row r="10797" spans="1:38" s="11" customFormat="1" x14ac:dyDescent="0.25">
      <c r="A10797" s="3"/>
      <c r="F10797" s="19"/>
      <c r="G10797" s="19"/>
      <c r="N10797" s="19"/>
      <c r="P10797" s="19"/>
      <c r="AL10797" s="19"/>
    </row>
    <row r="10798" spans="1:38" s="11" customFormat="1" x14ac:dyDescent="0.25">
      <c r="A10798" s="3"/>
      <c r="F10798" s="19"/>
      <c r="G10798" s="19"/>
      <c r="N10798" s="19"/>
      <c r="P10798" s="19"/>
      <c r="AL10798" s="19"/>
    </row>
    <row r="10799" spans="1:38" s="11" customFormat="1" x14ac:dyDescent="0.25">
      <c r="A10799" s="3"/>
      <c r="F10799" s="19"/>
      <c r="G10799" s="19"/>
      <c r="N10799" s="19"/>
      <c r="P10799" s="19"/>
      <c r="AL10799" s="19"/>
    </row>
    <row r="10800" spans="1:38" s="11" customFormat="1" x14ac:dyDescent="0.25">
      <c r="A10800" s="3"/>
      <c r="F10800" s="19"/>
      <c r="G10800" s="19"/>
      <c r="N10800" s="19"/>
      <c r="P10800" s="19"/>
      <c r="AL10800" s="19"/>
    </row>
    <row r="10801" spans="1:38" s="11" customFormat="1" x14ac:dyDescent="0.25">
      <c r="A10801" s="3"/>
      <c r="F10801" s="19"/>
      <c r="G10801" s="19"/>
      <c r="N10801" s="19"/>
      <c r="P10801" s="19"/>
      <c r="AL10801" s="19"/>
    </row>
    <row r="10802" spans="1:38" s="11" customFormat="1" x14ac:dyDescent="0.25">
      <c r="A10802" s="3"/>
      <c r="F10802" s="19"/>
      <c r="G10802" s="19"/>
      <c r="N10802" s="19"/>
      <c r="P10802" s="19"/>
      <c r="AL10802" s="19"/>
    </row>
    <row r="10803" spans="1:38" s="11" customFormat="1" x14ac:dyDescent="0.25">
      <c r="A10803" s="3"/>
      <c r="F10803" s="19"/>
      <c r="G10803" s="19"/>
      <c r="N10803" s="19"/>
      <c r="P10803" s="19"/>
      <c r="AL10803" s="19"/>
    </row>
    <row r="10804" spans="1:38" s="11" customFormat="1" x14ac:dyDescent="0.25">
      <c r="A10804" s="3"/>
      <c r="F10804" s="19"/>
      <c r="G10804" s="19"/>
      <c r="N10804" s="19"/>
      <c r="P10804" s="19"/>
      <c r="AL10804" s="19"/>
    </row>
    <row r="10805" spans="1:38" s="11" customFormat="1" x14ac:dyDescent="0.25">
      <c r="A10805" s="3"/>
      <c r="F10805" s="19"/>
      <c r="G10805" s="19"/>
      <c r="N10805" s="19"/>
      <c r="P10805" s="19"/>
      <c r="AL10805" s="19"/>
    </row>
    <row r="10806" spans="1:38" s="11" customFormat="1" x14ac:dyDescent="0.25">
      <c r="A10806" s="3"/>
      <c r="F10806" s="19"/>
      <c r="G10806" s="19"/>
      <c r="N10806" s="19"/>
      <c r="P10806" s="19"/>
      <c r="AL10806" s="19"/>
    </row>
    <row r="10807" spans="1:38" s="11" customFormat="1" x14ac:dyDescent="0.25">
      <c r="A10807" s="3"/>
      <c r="F10807" s="19"/>
      <c r="G10807" s="19"/>
      <c r="N10807" s="19"/>
      <c r="P10807" s="19"/>
      <c r="AL10807" s="19"/>
    </row>
    <row r="10808" spans="1:38" s="11" customFormat="1" x14ac:dyDescent="0.25">
      <c r="A10808" s="3"/>
      <c r="F10808" s="19"/>
      <c r="G10808" s="19"/>
      <c r="N10808" s="19"/>
      <c r="P10808" s="19"/>
      <c r="AL10808" s="19"/>
    </row>
    <row r="10809" spans="1:38" s="11" customFormat="1" x14ac:dyDescent="0.25">
      <c r="A10809" s="3"/>
      <c r="F10809" s="19"/>
      <c r="G10809" s="19"/>
      <c r="N10809" s="19"/>
      <c r="P10809" s="19"/>
      <c r="AL10809" s="19"/>
    </row>
    <row r="10810" spans="1:38" s="11" customFormat="1" x14ac:dyDescent="0.25">
      <c r="A10810" s="3"/>
      <c r="F10810" s="19"/>
      <c r="G10810" s="19"/>
      <c r="N10810" s="19"/>
      <c r="P10810" s="19"/>
      <c r="AL10810" s="19"/>
    </row>
    <row r="10811" spans="1:38" s="11" customFormat="1" x14ac:dyDescent="0.25">
      <c r="A10811" s="3"/>
      <c r="F10811" s="19"/>
      <c r="G10811" s="19"/>
      <c r="N10811" s="19"/>
      <c r="P10811" s="19"/>
      <c r="AL10811" s="19"/>
    </row>
    <row r="10812" spans="1:38" s="11" customFormat="1" x14ac:dyDescent="0.25">
      <c r="A10812" s="3"/>
      <c r="F10812" s="19"/>
      <c r="G10812" s="19"/>
      <c r="N10812" s="19"/>
      <c r="P10812" s="19"/>
      <c r="AL10812" s="19"/>
    </row>
    <row r="10813" spans="1:38" s="11" customFormat="1" x14ac:dyDescent="0.25">
      <c r="A10813" s="3"/>
      <c r="F10813" s="19"/>
      <c r="G10813" s="19"/>
      <c r="N10813" s="19"/>
      <c r="P10813" s="19"/>
      <c r="AL10813" s="19"/>
    </row>
    <row r="10814" spans="1:38" s="11" customFormat="1" x14ac:dyDescent="0.25">
      <c r="A10814" s="3"/>
      <c r="F10814" s="19"/>
      <c r="G10814" s="19"/>
      <c r="N10814" s="19"/>
      <c r="P10814" s="19"/>
      <c r="AL10814" s="19"/>
    </row>
    <row r="10815" spans="1:38" s="11" customFormat="1" x14ac:dyDescent="0.25">
      <c r="A10815" s="3"/>
      <c r="F10815" s="19"/>
      <c r="G10815" s="19"/>
      <c r="N10815" s="19"/>
      <c r="P10815" s="19"/>
      <c r="AL10815" s="19"/>
    </row>
    <row r="10816" spans="1:38" s="11" customFormat="1" x14ac:dyDescent="0.25">
      <c r="A10816" s="3"/>
      <c r="F10816" s="19"/>
      <c r="G10816" s="19"/>
      <c r="N10816" s="19"/>
      <c r="P10816" s="19"/>
      <c r="AL10816" s="19"/>
    </row>
    <row r="10817" spans="1:38" s="11" customFormat="1" x14ac:dyDescent="0.25">
      <c r="A10817" s="3"/>
      <c r="F10817" s="19"/>
      <c r="G10817" s="19"/>
      <c r="N10817" s="19"/>
      <c r="P10817" s="19"/>
      <c r="AL10817" s="19"/>
    </row>
    <row r="10818" spans="1:38" s="11" customFormat="1" x14ac:dyDescent="0.25">
      <c r="A10818" s="3"/>
      <c r="F10818" s="19"/>
      <c r="G10818" s="19"/>
      <c r="N10818" s="19"/>
      <c r="P10818" s="19"/>
      <c r="AL10818" s="19"/>
    </row>
    <row r="10819" spans="1:38" s="11" customFormat="1" x14ac:dyDescent="0.25">
      <c r="A10819" s="3"/>
      <c r="F10819" s="19"/>
      <c r="G10819" s="19"/>
      <c r="N10819" s="19"/>
      <c r="P10819" s="19"/>
      <c r="AL10819" s="19"/>
    </row>
    <row r="10820" spans="1:38" s="11" customFormat="1" x14ac:dyDescent="0.25">
      <c r="A10820" s="3"/>
      <c r="F10820" s="19"/>
      <c r="G10820" s="19"/>
      <c r="N10820" s="19"/>
      <c r="P10820" s="19"/>
      <c r="AL10820" s="19"/>
    </row>
    <row r="10821" spans="1:38" s="11" customFormat="1" x14ac:dyDescent="0.25">
      <c r="A10821" s="3"/>
      <c r="F10821" s="19"/>
      <c r="G10821" s="19"/>
      <c r="N10821" s="19"/>
      <c r="P10821" s="19"/>
      <c r="AL10821" s="19"/>
    </row>
    <row r="10822" spans="1:38" s="11" customFormat="1" x14ac:dyDescent="0.25">
      <c r="A10822" s="3"/>
      <c r="F10822" s="19"/>
      <c r="G10822" s="19"/>
      <c r="N10822" s="19"/>
      <c r="P10822" s="19"/>
      <c r="AL10822" s="19"/>
    </row>
    <row r="10823" spans="1:38" s="11" customFormat="1" x14ac:dyDescent="0.25">
      <c r="A10823" s="3"/>
      <c r="F10823" s="19"/>
      <c r="G10823" s="19"/>
      <c r="N10823" s="19"/>
      <c r="P10823" s="19"/>
      <c r="AL10823" s="19"/>
    </row>
    <row r="10824" spans="1:38" s="11" customFormat="1" x14ac:dyDescent="0.25">
      <c r="A10824" s="3"/>
      <c r="F10824" s="19"/>
      <c r="G10824" s="19"/>
      <c r="N10824" s="19"/>
      <c r="P10824" s="19"/>
      <c r="AL10824" s="19"/>
    </row>
    <row r="10825" spans="1:38" s="11" customFormat="1" x14ac:dyDescent="0.25">
      <c r="A10825" s="3"/>
      <c r="F10825" s="19"/>
      <c r="G10825" s="19"/>
      <c r="N10825" s="19"/>
      <c r="P10825" s="19"/>
      <c r="AL10825" s="19"/>
    </row>
    <row r="10826" spans="1:38" s="11" customFormat="1" x14ac:dyDescent="0.25">
      <c r="A10826" s="3"/>
      <c r="F10826" s="19"/>
      <c r="G10826" s="19"/>
      <c r="N10826" s="19"/>
      <c r="P10826" s="19"/>
      <c r="AL10826" s="19"/>
    </row>
    <row r="10827" spans="1:38" s="11" customFormat="1" x14ac:dyDescent="0.25">
      <c r="A10827" s="3"/>
      <c r="F10827" s="19"/>
      <c r="G10827" s="19"/>
      <c r="N10827" s="19"/>
      <c r="P10827" s="19"/>
      <c r="AL10827" s="19"/>
    </row>
    <row r="10828" spans="1:38" s="11" customFormat="1" x14ac:dyDescent="0.25">
      <c r="A10828" s="3"/>
      <c r="F10828" s="19"/>
      <c r="G10828" s="19"/>
      <c r="N10828" s="19"/>
      <c r="P10828" s="19"/>
      <c r="AL10828" s="19"/>
    </row>
    <row r="10829" spans="1:38" s="11" customFormat="1" x14ac:dyDescent="0.25">
      <c r="A10829" s="3"/>
      <c r="F10829" s="19"/>
      <c r="G10829" s="19"/>
      <c r="N10829" s="19"/>
      <c r="P10829" s="19"/>
      <c r="AL10829" s="19"/>
    </row>
    <row r="10830" spans="1:38" s="11" customFormat="1" x14ac:dyDescent="0.25">
      <c r="A10830" s="3"/>
      <c r="F10830" s="19"/>
      <c r="G10830" s="19"/>
      <c r="N10830" s="19"/>
      <c r="P10830" s="19"/>
      <c r="AL10830" s="19"/>
    </row>
    <row r="10831" spans="1:38" s="11" customFormat="1" x14ac:dyDescent="0.25">
      <c r="A10831" s="3"/>
      <c r="F10831" s="19"/>
      <c r="G10831" s="19"/>
      <c r="N10831" s="19"/>
      <c r="P10831" s="19"/>
      <c r="AL10831" s="19"/>
    </row>
    <row r="10832" spans="1:38" s="11" customFormat="1" x14ac:dyDescent="0.25">
      <c r="A10832" s="3"/>
      <c r="F10832" s="19"/>
      <c r="G10832" s="19"/>
      <c r="N10832" s="19"/>
      <c r="P10832" s="19"/>
      <c r="AL10832" s="19"/>
    </row>
    <row r="10833" spans="1:38" s="11" customFormat="1" x14ac:dyDescent="0.25">
      <c r="A10833" s="3"/>
      <c r="F10833" s="19"/>
      <c r="G10833" s="19"/>
      <c r="N10833" s="19"/>
      <c r="P10833" s="19"/>
      <c r="AL10833" s="19"/>
    </row>
    <row r="10834" spans="1:38" s="11" customFormat="1" x14ac:dyDescent="0.25">
      <c r="A10834" s="3"/>
      <c r="F10834" s="19"/>
      <c r="G10834" s="19"/>
      <c r="N10834" s="19"/>
      <c r="P10834" s="19"/>
      <c r="AL10834" s="19"/>
    </row>
    <row r="10835" spans="1:38" s="11" customFormat="1" x14ac:dyDescent="0.25">
      <c r="A10835" s="3"/>
      <c r="F10835" s="19"/>
      <c r="G10835" s="19"/>
      <c r="N10835" s="19"/>
      <c r="P10835" s="19"/>
      <c r="AL10835" s="19"/>
    </row>
    <row r="10836" spans="1:38" s="11" customFormat="1" x14ac:dyDescent="0.25">
      <c r="A10836" s="3"/>
      <c r="F10836" s="19"/>
      <c r="G10836" s="19"/>
      <c r="N10836" s="19"/>
      <c r="P10836" s="19"/>
      <c r="AL10836" s="19"/>
    </row>
    <row r="10837" spans="1:38" s="11" customFormat="1" x14ac:dyDescent="0.25">
      <c r="A10837" s="3"/>
      <c r="F10837" s="19"/>
      <c r="G10837" s="19"/>
      <c r="N10837" s="19"/>
      <c r="P10837" s="19"/>
      <c r="AL10837" s="19"/>
    </row>
    <row r="10838" spans="1:38" s="11" customFormat="1" x14ac:dyDescent="0.25">
      <c r="A10838" s="3"/>
      <c r="F10838" s="19"/>
      <c r="G10838" s="19"/>
      <c r="N10838" s="19"/>
      <c r="P10838" s="19"/>
      <c r="AL10838" s="19"/>
    </row>
    <row r="10839" spans="1:38" s="11" customFormat="1" x14ac:dyDescent="0.25">
      <c r="A10839" s="3"/>
      <c r="F10839" s="19"/>
      <c r="G10839" s="19"/>
      <c r="N10839" s="19"/>
      <c r="P10839" s="19"/>
      <c r="AL10839" s="19"/>
    </row>
    <row r="10840" spans="1:38" s="11" customFormat="1" x14ac:dyDescent="0.25">
      <c r="A10840" s="3"/>
      <c r="F10840" s="19"/>
      <c r="G10840" s="19"/>
      <c r="N10840" s="19"/>
      <c r="P10840" s="19"/>
      <c r="AL10840" s="19"/>
    </row>
    <row r="10841" spans="1:38" s="11" customFormat="1" x14ac:dyDescent="0.25">
      <c r="A10841" s="3"/>
      <c r="F10841" s="19"/>
      <c r="G10841" s="19"/>
      <c r="N10841" s="19"/>
      <c r="P10841" s="19"/>
      <c r="AL10841" s="19"/>
    </row>
    <row r="10842" spans="1:38" s="11" customFormat="1" x14ac:dyDescent="0.25">
      <c r="A10842" s="3"/>
      <c r="F10842" s="19"/>
      <c r="G10842" s="19"/>
      <c r="N10842" s="19"/>
      <c r="P10842" s="19"/>
      <c r="AL10842" s="19"/>
    </row>
    <row r="10843" spans="1:38" s="11" customFormat="1" x14ac:dyDescent="0.25">
      <c r="A10843" s="3"/>
      <c r="F10843" s="19"/>
      <c r="G10843" s="19"/>
      <c r="N10843" s="19"/>
      <c r="P10843" s="19"/>
      <c r="AL10843" s="19"/>
    </row>
    <row r="10844" spans="1:38" s="11" customFormat="1" x14ac:dyDescent="0.25">
      <c r="A10844" s="3"/>
      <c r="F10844" s="19"/>
      <c r="G10844" s="19"/>
      <c r="N10844" s="19"/>
      <c r="P10844" s="19"/>
      <c r="AL10844" s="19"/>
    </row>
    <row r="10845" spans="1:38" s="11" customFormat="1" x14ac:dyDescent="0.25">
      <c r="A10845" s="3"/>
      <c r="F10845" s="19"/>
      <c r="G10845" s="19"/>
      <c r="N10845" s="19"/>
      <c r="P10845" s="19"/>
      <c r="AL10845" s="19"/>
    </row>
    <row r="10846" spans="1:38" s="11" customFormat="1" x14ac:dyDescent="0.25">
      <c r="A10846" s="3"/>
      <c r="F10846" s="19"/>
      <c r="G10846" s="19"/>
      <c r="N10846" s="19"/>
      <c r="P10846" s="19"/>
      <c r="AL10846" s="19"/>
    </row>
    <row r="10847" spans="1:38" s="11" customFormat="1" x14ac:dyDescent="0.25">
      <c r="A10847" s="3"/>
      <c r="F10847" s="19"/>
      <c r="G10847" s="19"/>
      <c r="N10847" s="19"/>
      <c r="P10847" s="19"/>
      <c r="AL10847" s="19"/>
    </row>
    <row r="10848" spans="1:38" s="11" customFormat="1" x14ac:dyDescent="0.25">
      <c r="A10848" s="3"/>
      <c r="F10848" s="19"/>
      <c r="G10848" s="19"/>
      <c r="N10848" s="19"/>
      <c r="P10848" s="19"/>
      <c r="AL10848" s="19"/>
    </row>
    <row r="10849" spans="1:38" s="11" customFormat="1" x14ac:dyDescent="0.25">
      <c r="A10849" s="3"/>
      <c r="F10849" s="19"/>
      <c r="G10849" s="19"/>
      <c r="N10849" s="19"/>
      <c r="P10849" s="19"/>
      <c r="AL10849" s="19"/>
    </row>
    <row r="10850" spans="1:38" s="11" customFormat="1" x14ac:dyDescent="0.25">
      <c r="A10850" s="3"/>
      <c r="F10850" s="19"/>
      <c r="G10850" s="19"/>
      <c r="N10850" s="19"/>
      <c r="P10850" s="19"/>
      <c r="AL10850" s="19"/>
    </row>
    <row r="10851" spans="1:38" s="11" customFormat="1" x14ac:dyDescent="0.25">
      <c r="A10851" s="3"/>
      <c r="F10851" s="19"/>
      <c r="G10851" s="19"/>
      <c r="N10851" s="19"/>
      <c r="P10851" s="19"/>
      <c r="AL10851" s="19"/>
    </row>
    <row r="10852" spans="1:38" s="11" customFormat="1" x14ac:dyDescent="0.25">
      <c r="A10852" s="3"/>
      <c r="F10852" s="19"/>
      <c r="G10852" s="19"/>
      <c r="N10852" s="19"/>
      <c r="P10852" s="19"/>
      <c r="AL10852" s="19"/>
    </row>
    <row r="10853" spans="1:38" s="11" customFormat="1" x14ac:dyDescent="0.25">
      <c r="A10853" s="3"/>
      <c r="F10853" s="19"/>
      <c r="G10853" s="19"/>
      <c r="N10853" s="19"/>
      <c r="P10853" s="19"/>
      <c r="AL10853" s="19"/>
    </row>
    <row r="10854" spans="1:38" s="11" customFormat="1" x14ac:dyDescent="0.25">
      <c r="A10854" s="3"/>
      <c r="F10854" s="19"/>
      <c r="G10854" s="19"/>
      <c r="N10854" s="19"/>
      <c r="P10854" s="19"/>
      <c r="AL10854" s="19"/>
    </row>
    <row r="10855" spans="1:38" s="11" customFormat="1" x14ac:dyDescent="0.25">
      <c r="A10855" s="3"/>
      <c r="F10855" s="19"/>
      <c r="G10855" s="19"/>
      <c r="N10855" s="19"/>
      <c r="P10855" s="19"/>
      <c r="AL10855" s="19"/>
    </row>
    <row r="10856" spans="1:38" s="11" customFormat="1" x14ac:dyDescent="0.25">
      <c r="A10856" s="3"/>
      <c r="F10856" s="19"/>
      <c r="G10856" s="19"/>
      <c r="N10856" s="19"/>
      <c r="P10856" s="19"/>
      <c r="AL10856" s="19"/>
    </row>
    <row r="10857" spans="1:38" s="11" customFormat="1" x14ac:dyDescent="0.25">
      <c r="A10857" s="3"/>
      <c r="F10857" s="19"/>
      <c r="G10857" s="19"/>
      <c r="N10857" s="19"/>
      <c r="P10857" s="19"/>
      <c r="AL10857" s="19"/>
    </row>
    <row r="10858" spans="1:38" s="11" customFormat="1" x14ac:dyDescent="0.25">
      <c r="A10858" s="3"/>
      <c r="F10858" s="19"/>
      <c r="G10858" s="19"/>
      <c r="N10858" s="19"/>
      <c r="P10858" s="19"/>
      <c r="AL10858" s="19"/>
    </row>
    <row r="10859" spans="1:38" s="11" customFormat="1" x14ac:dyDescent="0.25">
      <c r="A10859" s="3"/>
      <c r="F10859" s="19"/>
      <c r="G10859" s="19"/>
      <c r="N10859" s="19"/>
      <c r="P10859" s="19"/>
      <c r="AL10859" s="19"/>
    </row>
    <row r="10860" spans="1:38" s="11" customFormat="1" x14ac:dyDescent="0.25">
      <c r="A10860" s="3"/>
      <c r="F10860" s="19"/>
      <c r="G10860" s="19"/>
      <c r="N10860" s="19"/>
      <c r="P10860" s="19"/>
      <c r="AL10860" s="19"/>
    </row>
    <row r="10861" spans="1:38" s="11" customFormat="1" x14ac:dyDescent="0.25">
      <c r="A10861" s="3"/>
      <c r="F10861" s="19"/>
      <c r="G10861" s="19"/>
      <c r="N10861" s="19"/>
      <c r="P10861" s="19"/>
      <c r="AL10861" s="19"/>
    </row>
    <row r="10862" spans="1:38" s="11" customFormat="1" x14ac:dyDescent="0.25">
      <c r="A10862" s="3"/>
      <c r="F10862" s="19"/>
      <c r="G10862" s="19"/>
      <c r="N10862" s="19"/>
      <c r="P10862" s="19"/>
      <c r="AL10862" s="19"/>
    </row>
    <row r="10863" spans="1:38" s="11" customFormat="1" x14ac:dyDescent="0.25">
      <c r="A10863" s="3"/>
      <c r="F10863" s="19"/>
      <c r="G10863" s="19"/>
      <c r="N10863" s="19"/>
      <c r="P10863" s="19"/>
      <c r="AL10863" s="19"/>
    </row>
    <row r="10864" spans="1:38" s="11" customFormat="1" x14ac:dyDescent="0.25">
      <c r="A10864" s="3"/>
      <c r="F10864" s="19"/>
      <c r="G10864" s="19"/>
      <c r="N10864" s="19"/>
      <c r="P10864" s="19"/>
      <c r="AL10864" s="19"/>
    </row>
    <row r="10865" spans="1:38" s="11" customFormat="1" x14ac:dyDescent="0.25">
      <c r="A10865" s="3"/>
      <c r="F10865" s="19"/>
      <c r="G10865" s="19"/>
      <c r="N10865" s="19"/>
      <c r="P10865" s="19"/>
      <c r="AL10865" s="19"/>
    </row>
    <row r="10866" spans="1:38" s="11" customFormat="1" x14ac:dyDescent="0.25">
      <c r="A10866" s="3"/>
      <c r="F10866" s="19"/>
      <c r="G10866" s="19"/>
      <c r="N10866" s="19"/>
      <c r="P10866" s="19"/>
      <c r="AL10866" s="19"/>
    </row>
    <row r="10867" spans="1:38" s="11" customFormat="1" x14ac:dyDescent="0.25">
      <c r="A10867" s="3"/>
      <c r="F10867" s="19"/>
      <c r="G10867" s="19"/>
      <c r="N10867" s="19"/>
      <c r="P10867" s="19"/>
      <c r="AL10867" s="19"/>
    </row>
    <row r="10868" spans="1:38" s="11" customFormat="1" x14ac:dyDescent="0.25">
      <c r="A10868" s="3"/>
      <c r="F10868" s="19"/>
      <c r="G10868" s="19"/>
      <c r="N10868" s="19"/>
      <c r="P10868" s="19"/>
      <c r="AL10868" s="19"/>
    </row>
    <row r="10869" spans="1:38" s="11" customFormat="1" x14ac:dyDescent="0.25">
      <c r="A10869" s="3"/>
      <c r="F10869" s="19"/>
      <c r="G10869" s="19"/>
      <c r="N10869" s="19"/>
      <c r="P10869" s="19"/>
      <c r="AL10869" s="19"/>
    </row>
    <row r="10870" spans="1:38" s="11" customFormat="1" x14ac:dyDescent="0.25">
      <c r="A10870" s="3"/>
      <c r="F10870" s="19"/>
      <c r="G10870" s="19"/>
      <c r="N10870" s="19"/>
      <c r="P10870" s="19"/>
      <c r="AL10870" s="19"/>
    </row>
    <row r="10871" spans="1:38" s="11" customFormat="1" x14ac:dyDescent="0.25">
      <c r="A10871" s="3"/>
      <c r="F10871" s="19"/>
      <c r="G10871" s="19"/>
      <c r="N10871" s="19"/>
      <c r="P10871" s="19"/>
      <c r="AL10871" s="19"/>
    </row>
    <row r="10872" spans="1:38" s="11" customFormat="1" x14ac:dyDescent="0.25">
      <c r="A10872" s="3"/>
      <c r="F10872" s="19"/>
      <c r="G10872" s="19"/>
      <c r="N10872" s="19"/>
      <c r="P10872" s="19"/>
      <c r="AL10872" s="19"/>
    </row>
    <row r="10873" spans="1:38" s="11" customFormat="1" x14ac:dyDescent="0.25">
      <c r="A10873" s="3"/>
      <c r="F10873" s="19"/>
      <c r="G10873" s="19"/>
      <c r="N10873" s="19"/>
      <c r="P10873" s="19"/>
      <c r="AL10873" s="19"/>
    </row>
    <row r="10874" spans="1:38" s="11" customFormat="1" x14ac:dyDescent="0.25">
      <c r="A10874" s="3"/>
      <c r="F10874" s="19"/>
      <c r="G10874" s="19"/>
      <c r="N10874" s="19"/>
      <c r="P10874" s="19"/>
      <c r="AL10874" s="19"/>
    </row>
    <row r="10875" spans="1:38" s="11" customFormat="1" x14ac:dyDescent="0.25">
      <c r="A10875" s="3"/>
      <c r="F10875" s="19"/>
      <c r="G10875" s="19"/>
      <c r="N10875" s="19"/>
      <c r="P10875" s="19"/>
      <c r="AL10875" s="19"/>
    </row>
    <row r="10876" spans="1:38" s="11" customFormat="1" x14ac:dyDescent="0.25">
      <c r="A10876" s="3"/>
      <c r="F10876" s="19"/>
      <c r="G10876" s="19"/>
      <c r="N10876" s="19"/>
      <c r="P10876" s="19"/>
      <c r="AL10876" s="19"/>
    </row>
    <row r="10877" spans="1:38" s="11" customFormat="1" x14ac:dyDescent="0.25">
      <c r="A10877" s="3"/>
      <c r="F10877" s="19"/>
      <c r="G10877" s="19"/>
      <c r="N10877" s="19"/>
      <c r="P10877" s="19"/>
      <c r="AL10877" s="19"/>
    </row>
    <row r="10878" spans="1:38" s="11" customFormat="1" x14ac:dyDescent="0.25">
      <c r="A10878" s="3"/>
      <c r="F10878" s="19"/>
      <c r="G10878" s="19"/>
      <c r="N10878" s="19"/>
      <c r="P10878" s="19"/>
      <c r="AL10878" s="19"/>
    </row>
    <row r="10879" spans="1:38" s="11" customFormat="1" x14ac:dyDescent="0.25">
      <c r="A10879" s="3"/>
      <c r="F10879" s="19"/>
      <c r="G10879" s="19"/>
      <c r="N10879" s="19"/>
      <c r="P10879" s="19"/>
      <c r="AL10879" s="19"/>
    </row>
    <row r="10880" spans="1:38" s="11" customFormat="1" x14ac:dyDescent="0.25">
      <c r="A10880" s="3"/>
      <c r="F10880" s="19"/>
      <c r="G10880" s="19"/>
      <c r="N10880" s="19"/>
      <c r="P10880" s="19"/>
      <c r="AL10880" s="19"/>
    </row>
    <row r="10881" spans="1:38" s="11" customFormat="1" x14ac:dyDescent="0.25">
      <c r="A10881" s="3"/>
      <c r="F10881" s="19"/>
      <c r="G10881" s="19"/>
      <c r="N10881" s="19"/>
      <c r="P10881" s="19"/>
      <c r="AL10881" s="19"/>
    </row>
    <row r="10882" spans="1:38" s="11" customFormat="1" x14ac:dyDescent="0.25">
      <c r="A10882" s="3"/>
      <c r="F10882" s="19"/>
      <c r="G10882" s="19"/>
      <c r="N10882" s="19"/>
      <c r="P10882" s="19"/>
      <c r="AL10882" s="19"/>
    </row>
    <row r="10883" spans="1:38" s="11" customFormat="1" x14ac:dyDescent="0.25">
      <c r="A10883" s="3"/>
      <c r="F10883" s="19"/>
      <c r="G10883" s="19"/>
      <c r="N10883" s="19"/>
      <c r="P10883" s="19"/>
      <c r="AL10883" s="19"/>
    </row>
    <row r="10884" spans="1:38" s="11" customFormat="1" x14ac:dyDescent="0.25">
      <c r="A10884" s="3"/>
      <c r="F10884" s="19"/>
      <c r="G10884" s="19"/>
      <c r="N10884" s="19"/>
      <c r="P10884" s="19"/>
      <c r="AL10884" s="19"/>
    </row>
    <row r="10885" spans="1:38" s="11" customFormat="1" x14ac:dyDescent="0.25">
      <c r="A10885" s="3"/>
      <c r="F10885" s="19"/>
      <c r="G10885" s="19"/>
      <c r="N10885" s="19"/>
      <c r="P10885" s="19"/>
      <c r="AL10885" s="19"/>
    </row>
    <row r="10886" spans="1:38" s="11" customFormat="1" x14ac:dyDescent="0.25">
      <c r="A10886" s="3"/>
      <c r="F10886" s="19"/>
      <c r="G10886" s="19"/>
      <c r="N10886" s="19"/>
      <c r="P10886" s="19"/>
      <c r="AL10886" s="19"/>
    </row>
    <row r="10887" spans="1:38" s="11" customFormat="1" x14ac:dyDescent="0.25">
      <c r="A10887" s="3"/>
      <c r="F10887" s="19"/>
      <c r="G10887" s="19"/>
      <c r="N10887" s="19"/>
      <c r="P10887" s="19"/>
      <c r="AL10887" s="19"/>
    </row>
    <row r="10888" spans="1:38" s="11" customFormat="1" x14ac:dyDescent="0.25">
      <c r="A10888" s="3"/>
      <c r="F10888" s="19"/>
      <c r="G10888" s="19"/>
      <c r="N10888" s="19"/>
      <c r="P10888" s="19"/>
      <c r="AL10888" s="19"/>
    </row>
    <row r="10889" spans="1:38" s="11" customFormat="1" x14ac:dyDescent="0.25">
      <c r="A10889" s="3"/>
      <c r="F10889" s="19"/>
      <c r="G10889" s="19"/>
      <c r="N10889" s="19"/>
      <c r="P10889" s="19"/>
      <c r="AL10889" s="19"/>
    </row>
    <row r="10890" spans="1:38" s="11" customFormat="1" x14ac:dyDescent="0.25">
      <c r="A10890" s="3"/>
      <c r="F10890" s="19"/>
      <c r="G10890" s="19"/>
      <c r="N10890" s="19"/>
      <c r="P10890" s="19"/>
      <c r="AL10890" s="19"/>
    </row>
    <row r="10891" spans="1:38" s="11" customFormat="1" x14ac:dyDescent="0.25">
      <c r="A10891" s="3"/>
      <c r="F10891" s="19"/>
      <c r="G10891" s="19"/>
      <c r="N10891" s="19"/>
      <c r="P10891" s="19"/>
      <c r="AL10891" s="19"/>
    </row>
    <row r="10892" spans="1:38" s="11" customFormat="1" x14ac:dyDescent="0.25">
      <c r="A10892" s="3"/>
      <c r="F10892" s="19"/>
      <c r="G10892" s="19"/>
      <c r="N10892" s="19"/>
      <c r="P10892" s="19"/>
      <c r="AL10892" s="19"/>
    </row>
    <row r="10893" spans="1:38" s="11" customFormat="1" x14ac:dyDescent="0.25">
      <c r="A10893" s="3"/>
      <c r="F10893" s="19"/>
      <c r="G10893" s="19"/>
      <c r="N10893" s="19"/>
      <c r="P10893" s="19"/>
      <c r="AL10893" s="19"/>
    </row>
    <row r="10894" spans="1:38" s="11" customFormat="1" x14ac:dyDescent="0.25">
      <c r="A10894" s="3"/>
      <c r="F10894" s="19"/>
      <c r="G10894" s="19"/>
      <c r="N10894" s="19"/>
      <c r="P10894" s="19"/>
      <c r="AL10894" s="19"/>
    </row>
    <row r="10895" spans="1:38" s="11" customFormat="1" x14ac:dyDescent="0.25">
      <c r="A10895" s="3"/>
      <c r="F10895" s="19"/>
      <c r="G10895" s="19"/>
      <c r="N10895" s="19"/>
      <c r="P10895" s="19"/>
      <c r="AL10895" s="19"/>
    </row>
    <row r="10896" spans="1:38" s="11" customFormat="1" x14ac:dyDescent="0.25">
      <c r="A10896" s="3"/>
      <c r="F10896" s="19"/>
      <c r="G10896" s="19"/>
      <c r="N10896" s="19"/>
      <c r="P10896" s="19"/>
      <c r="AL10896" s="19"/>
    </row>
    <row r="10897" spans="1:38" s="11" customFormat="1" x14ac:dyDescent="0.25">
      <c r="A10897" s="3"/>
      <c r="F10897" s="19"/>
      <c r="G10897" s="19"/>
      <c r="N10897" s="19"/>
      <c r="P10897" s="19"/>
      <c r="AL10897" s="19"/>
    </row>
    <row r="10898" spans="1:38" s="11" customFormat="1" x14ac:dyDescent="0.25">
      <c r="A10898" s="3"/>
      <c r="F10898" s="19"/>
      <c r="G10898" s="19"/>
      <c r="N10898" s="19"/>
      <c r="P10898" s="19"/>
      <c r="AL10898" s="19"/>
    </row>
    <row r="10899" spans="1:38" s="11" customFormat="1" x14ac:dyDescent="0.25">
      <c r="A10899" s="3"/>
      <c r="F10899" s="19"/>
      <c r="G10899" s="19"/>
      <c r="N10899" s="19"/>
      <c r="P10899" s="19"/>
      <c r="AL10899" s="19"/>
    </row>
    <row r="10900" spans="1:38" s="11" customFormat="1" x14ac:dyDescent="0.25">
      <c r="A10900" s="3"/>
      <c r="F10900" s="19"/>
      <c r="G10900" s="19"/>
      <c r="N10900" s="19"/>
      <c r="P10900" s="19"/>
      <c r="AL10900" s="19"/>
    </row>
    <row r="10901" spans="1:38" s="11" customFormat="1" x14ac:dyDescent="0.25">
      <c r="A10901" s="3"/>
      <c r="F10901" s="19"/>
      <c r="G10901" s="19"/>
      <c r="N10901" s="19"/>
      <c r="P10901" s="19"/>
      <c r="AL10901" s="19"/>
    </row>
    <row r="10902" spans="1:38" s="11" customFormat="1" x14ac:dyDescent="0.25">
      <c r="A10902" s="3"/>
      <c r="F10902" s="19"/>
      <c r="G10902" s="19"/>
      <c r="N10902" s="19"/>
      <c r="P10902" s="19"/>
      <c r="AL10902" s="19"/>
    </row>
    <row r="10903" spans="1:38" s="11" customFormat="1" x14ac:dyDescent="0.25">
      <c r="A10903" s="3"/>
      <c r="F10903" s="19"/>
      <c r="G10903" s="19"/>
      <c r="N10903" s="19"/>
      <c r="P10903" s="19"/>
      <c r="AL10903" s="19"/>
    </row>
    <row r="10904" spans="1:38" s="11" customFormat="1" x14ac:dyDescent="0.25">
      <c r="A10904" s="3"/>
      <c r="F10904" s="19"/>
      <c r="G10904" s="19"/>
      <c r="N10904" s="19"/>
      <c r="P10904" s="19"/>
      <c r="AL10904" s="19"/>
    </row>
    <row r="10905" spans="1:38" s="11" customFormat="1" x14ac:dyDescent="0.25">
      <c r="A10905" s="3"/>
      <c r="F10905" s="19"/>
      <c r="G10905" s="19"/>
      <c r="N10905" s="19"/>
      <c r="P10905" s="19"/>
      <c r="AL10905" s="19"/>
    </row>
    <row r="10906" spans="1:38" s="11" customFormat="1" x14ac:dyDescent="0.25">
      <c r="A10906" s="3"/>
      <c r="F10906" s="19"/>
      <c r="G10906" s="19"/>
      <c r="N10906" s="19"/>
      <c r="P10906" s="19"/>
      <c r="AL10906" s="19"/>
    </row>
    <row r="10907" spans="1:38" s="11" customFormat="1" x14ac:dyDescent="0.25">
      <c r="A10907" s="3"/>
      <c r="F10907" s="19"/>
      <c r="G10907" s="19"/>
      <c r="N10907" s="19"/>
      <c r="P10907" s="19"/>
      <c r="AL10907" s="19"/>
    </row>
    <row r="10908" spans="1:38" s="11" customFormat="1" x14ac:dyDescent="0.25">
      <c r="A10908" s="3"/>
      <c r="F10908" s="19"/>
      <c r="G10908" s="19"/>
      <c r="N10908" s="19"/>
      <c r="P10908" s="19"/>
      <c r="AL10908" s="19"/>
    </row>
    <row r="10909" spans="1:38" s="11" customFormat="1" x14ac:dyDescent="0.25">
      <c r="A10909" s="3"/>
      <c r="F10909" s="19"/>
      <c r="G10909" s="19"/>
      <c r="N10909" s="19"/>
      <c r="P10909" s="19"/>
      <c r="AL10909" s="19"/>
    </row>
    <row r="10910" spans="1:38" s="11" customFormat="1" x14ac:dyDescent="0.25">
      <c r="A10910" s="3"/>
      <c r="F10910" s="19"/>
      <c r="G10910" s="19"/>
      <c r="N10910" s="19"/>
      <c r="P10910" s="19"/>
      <c r="AL10910" s="19"/>
    </row>
    <row r="10911" spans="1:38" s="11" customFormat="1" x14ac:dyDescent="0.25">
      <c r="A10911" s="3"/>
      <c r="F10911" s="19"/>
      <c r="G10911" s="19"/>
      <c r="N10911" s="19"/>
      <c r="P10911" s="19"/>
      <c r="AL10911" s="19"/>
    </row>
    <row r="10912" spans="1:38" s="11" customFormat="1" x14ac:dyDescent="0.25">
      <c r="A10912" s="3"/>
      <c r="F10912" s="19"/>
      <c r="G10912" s="19"/>
      <c r="N10912" s="19"/>
      <c r="P10912" s="19"/>
      <c r="AL10912" s="19"/>
    </row>
    <row r="10913" spans="1:38" s="11" customFormat="1" x14ac:dyDescent="0.25">
      <c r="A10913" s="3"/>
      <c r="F10913" s="19"/>
      <c r="G10913" s="19"/>
      <c r="N10913" s="19"/>
      <c r="P10913" s="19"/>
      <c r="AL10913" s="19"/>
    </row>
    <row r="10914" spans="1:38" s="11" customFormat="1" x14ac:dyDescent="0.25">
      <c r="A10914" s="3"/>
      <c r="F10914" s="19"/>
      <c r="G10914" s="19"/>
      <c r="N10914" s="19"/>
      <c r="P10914" s="19"/>
      <c r="AL10914" s="19"/>
    </row>
    <row r="10915" spans="1:38" s="11" customFormat="1" x14ac:dyDescent="0.25">
      <c r="A10915" s="3"/>
      <c r="F10915" s="19"/>
      <c r="G10915" s="19"/>
      <c r="N10915" s="19"/>
      <c r="P10915" s="19"/>
      <c r="AL10915" s="19"/>
    </row>
    <row r="10916" spans="1:38" s="11" customFormat="1" x14ac:dyDescent="0.25">
      <c r="A10916" s="3"/>
      <c r="F10916" s="19"/>
      <c r="G10916" s="19"/>
      <c r="N10916" s="19"/>
      <c r="P10916" s="19"/>
      <c r="AL10916" s="19"/>
    </row>
    <row r="10917" spans="1:38" s="11" customFormat="1" x14ac:dyDescent="0.25">
      <c r="A10917" s="3"/>
      <c r="F10917" s="19"/>
      <c r="G10917" s="19"/>
      <c r="N10917" s="19"/>
      <c r="P10917" s="19"/>
      <c r="AL10917" s="19"/>
    </row>
    <row r="10918" spans="1:38" s="11" customFormat="1" x14ac:dyDescent="0.25">
      <c r="A10918" s="3"/>
      <c r="F10918" s="19"/>
      <c r="G10918" s="19"/>
      <c r="N10918" s="19"/>
      <c r="P10918" s="19"/>
      <c r="AL10918" s="19"/>
    </row>
    <row r="10919" spans="1:38" s="11" customFormat="1" x14ac:dyDescent="0.25">
      <c r="A10919" s="3"/>
      <c r="F10919" s="19"/>
      <c r="G10919" s="19"/>
      <c r="N10919" s="19"/>
      <c r="P10919" s="19"/>
      <c r="AL10919" s="19"/>
    </row>
    <row r="10920" spans="1:38" s="11" customFormat="1" x14ac:dyDescent="0.25">
      <c r="A10920" s="3"/>
      <c r="F10920" s="19"/>
      <c r="G10920" s="19"/>
      <c r="N10920" s="19"/>
      <c r="P10920" s="19"/>
      <c r="AL10920" s="19"/>
    </row>
    <row r="10921" spans="1:38" s="11" customFormat="1" x14ac:dyDescent="0.25">
      <c r="A10921" s="3"/>
      <c r="F10921" s="19"/>
      <c r="G10921" s="19"/>
      <c r="N10921" s="19"/>
      <c r="P10921" s="19"/>
      <c r="AL10921" s="19"/>
    </row>
    <row r="10922" spans="1:38" s="11" customFormat="1" x14ac:dyDescent="0.25">
      <c r="A10922" s="3"/>
      <c r="F10922" s="19"/>
      <c r="G10922" s="19"/>
      <c r="N10922" s="19"/>
      <c r="P10922" s="19"/>
      <c r="AL10922" s="19"/>
    </row>
    <row r="10923" spans="1:38" s="11" customFormat="1" x14ac:dyDescent="0.25">
      <c r="A10923" s="3"/>
      <c r="F10923" s="19"/>
      <c r="G10923" s="19"/>
      <c r="N10923" s="19"/>
      <c r="P10923" s="19"/>
      <c r="AL10923" s="19"/>
    </row>
    <row r="10924" spans="1:38" s="11" customFormat="1" x14ac:dyDescent="0.25">
      <c r="A10924" s="3"/>
      <c r="F10924" s="19"/>
      <c r="G10924" s="19"/>
      <c r="N10924" s="19"/>
      <c r="P10924" s="19"/>
      <c r="AL10924" s="19"/>
    </row>
    <row r="10925" spans="1:38" s="11" customFormat="1" x14ac:dyDescent="0.25">
      <c r="A10925" s="3"/>
      <c r="F10925" s="19"/>
      <c r="G10925" s="19"/>
      <c r="N10925" s="19"/>
      <c r="P10925" s="19"/>
      <c r="AL10925" s="19"/>
    </row>
    <row r="10926" spans="1:38" s="11" customFormat="1" x14ac:dyDescent="0.25">
      <c r="A10926" s="3"/>
      <c r="F10926" s="19"/>
      <c r="G10926" s="19"/>
      <c r="N10926" s="19"/>
      <c r="P10926" s="19"/>
      <c r="AL10926" s="19"/>
    </row>
    <row r="10927" spans="1:38" s="11" customFormat="1" x14ac:dyDescent="0.25">
      <c r="A10927" s="3"/>
      <c r="F10927" s="19"/>
      <c r="G10927" s="19"/>
      <c r="N10927" s="19"/>
      <c r="P10927" s="19"/>
      <c r="AL10927" s="19"/>
    </row>
    <row r="10928" spans="1:38" s="11" customFormat="1" x14ac:dyDescent="0.25">
      <c r="A10928" s="3"/>
      <c r="F10928" s="19"/>
      <c r="G10928" s="19"/>
      <c r="N10928" s="19"/>
      <c r="P10928" s="19"/>
      <c r="AL10928" s="19"/>
    </row>
    <row r="10929" spans="1:38" s="11" customFormat="1" x14ac:dyDescent="0.25">
      <c r="A10929" s="3"/>
      <c r="F10929" s="19"/>
      <c r="G10929" s="19"/>
      <c r="N10929" s="19"/>
      <c r="P10929" s="19"/>
      <c r="AL10929" s="19"/>
    </row>
    <row r="10930" spans="1:38" s="11" customFormat="1" x14ac:dyDescent="0.25">
      <c r="A10930" s="3"/>
      <c r="F10930" s="19"/>
      <c r="G10930" s="19"/>
      <c r="N10930" s="19"/>
      <c r="P10930" s="19"/>
      <c r="AL10930" s="19"/>
    </row>
    <row r="10931" spans="1:38" s="11" customFormat="1" x14ac:dyDescent="0.25">
      <c r="A10931" s="3"/>
      <c r="F10931" s="19"/>
      <c r="G10931" s="19"/>
      <c r="N10931" s="19"/>
      <c r="P10931" s="19"/>
      <c r="AL10931" s="19"/>
    </row>
    <row r="10932" spans="1:38" s="11" customFormat="1" x14ac:dyDescent="0.25">
      <c r="A10932" s="3"/>
      <c r="F10932" s="19"/>
      <c r="G10932" s="19"/>
      <c r="N10932" s="19"/>
      <c r="P10932" s="19"/>
      <c r="AL10932" s="19"/>
    </row>
    <row r="10933" spans="1:38" s="11" customFormat="1" x14ac:dyDescent="0.25">
      <c r="A10933" s="3"/>
      <c r="F10933" s="19"/>
      <c r="G10933" s="19"/>
      <c r="N10933" s="19"/>
      <c r="P10933" s="19"/>
      <c r="AL10933" s="19"/>
    </row>
    <row r="10934" spans="1:38" s="11" customFormat="1" x14ac:dyDescent="0.25">
      <c r="A10934" s="3"/>
      <c r="F10934" s="19"/>
      <c r="G10934" s="19"/>
      <c r="N10934" s="19"/>
      <c r="P10934" s="19"/>
      <c r="AL10934" s="19"/>
    </row>
    <row r="10935" spans="1:38" s="11" customFormat="1" x14ac:dyDescent="0.25">
      <c r="A10935" s="3"/>
      <c r="F10935" s="19"/>
      <c r="G10935" s="19"/>
      <c r="N10935" s="19"/>
      <c r="P10935" s="19"/>
      <c r="AL10935" s="19"/>
    </row>
    <row r="10936" spans="1:38" s="11" customFormat="1" x14ac:dyDescent="0.25">
      <c r="A10936" s="3"/>
      <c r="F10936" s="19"/>
      <c r="G10936" s="19"/>
      <c r="N10936" s="19"/>
      <c r="P10936" s="19"/>
      <c r="AL10936" s="19"/>
    </row>
    <row r="10937" spans="1:38" s="11" customFormat="1" x14ac:dyDescent="0.25">
      <c r="A10937" s="3"/>
      <c r="F10937" s="19"/>
      <c r="G10937" s="19"/>
      <c r="N10937" s="19"/>
      <c r="P10937" s="19"/>
      <c r="AL10937" s="19"/>
    </row>
    <row r="10938" spans="1:38" s="11" customFormat="1" x14ac:dyDescent="0.25">
      <c r="A10938" s="3"/>
      <c r="F10938" s="19"/>
      <c r="G10938" s="19"/>
      <c r="N10938" s="19"/>
      <c r="P10938" s="19"/>
      <c r="AL10938" s="19"/>
    </row>
    <row r="10939" spans="1:38" s="11" customFormat="1" x14ac:dyDescent="0.25">
      <c r="A10939" s="3"/>
      <c r="F10939" s="19"/>
      <c r="G10939" s="19"/>
      <c r="N10939" s="19"/>
      <c r="P10939" s="19"/>
      <c r="AL10939" s="19"/>
    </row>
    <row r="10940" spans="1:38" s="11" customFormat="1" x14ac:dyDescent="0.25">
      <c r="A10940" s="3"/>
      <c r="F10940" s="19"/>
      <c r="G10940" s="19"/>
      <c r="N10940" s="19"/>
      <c r="P10940" s="19"/>
      <c r="AL10940" s="19"/>
    </row>
    <row r="10941" spans="1:38" s="11" customFormat="1" x14ac:dyDescent="0.25">
      <c r="A10941" s="3"/>
      <c r="F10941" s="19"/>
      <c r="G10941" s="19"/>
      <c r="N10941" s="19"/>
      <c r="P10941" s="19"/>
      <c r="AL10941" s="19"/>
    </row>
    <row r="10942" spans="1:38" s="11" customFormat="1" x14ac:dyDescent="0.25">
      <c r="A10942" s="3"/>
      <c r="F10942" s="19"/>
      <c r="G10942" s="19"/>
      <c r="N10942" s="19"/>
      <c r="P10942" s="19"/>
      <c r="AL10942" s="19"/>
    </row>
    <row r="10943" spans="1:38" s="11" customFormat="1" x14ac:dyDescent="0.25">
      <c r="A10943" s="3"/>
      <c r="F10943" s="19"/>
      <c r="G10943" s="19"/>
      <c r="N10943" s="19"/>
      <c r="P10943" s="19"/>
      <c r="AL10943" s="19"/>
    </row>
    <row r="10944" spans="1:38" s="11" customFormat="1" x14ac:dyDescent="0.25">
      <c r="A10944" s="3"/>
      <c r="F10944" s="19"/>
      <c r="G10944" s="19"/>
      <c r="N10944" s="19"/>
      <c r="P10944" s="19"/>
      <c r="AL10944" s="19"/>
    </row>
    <row r="10945" spans="1:38" s="11" customFormat="1" x14ac:dyDescent="0.25">
      <c r="A10945" s="3"/>
      <c r="F10945" s="19"/>
      <c r="G10945" s="19"/>
      <c r="N10945" s="19"/>
      <c r="P10945" s="19"/>
      <c r="AL10945" s="19"/>
    </row>
    <row r="10946" spans="1:38" s="11" customFormat="1" x14ac:dyDescent="0.25">
      <c r="A10946" s="3"/>
      <c r="F10946" s="19"/>
      <c r="G10946" s="19"/>
      <c r="N10946" s="19"/>
      <c r="P10946" s="19"/>
      <c r="AL10946" s="19"/>
    </row>
    <row r="10947" spans="1:38" s="11" customFormat="1" x14ac:dyDescent="0.25">
      <c r="A10947" s="3"/>
      <c r="F10947" s="19"/>
      <c r="G10947" s="19"/>
      <c r="N10947" s="19"/>
      <c r="P10947" s="19"/>
      <c r="AL10947" s="19"/>
    </row>
    <row r="10948" spans="1:38" s="11" customFormat="1" x14ac:dyDescent="0.25">
      <c r="A10948" s="3"/>
      <c r="F10948" s="19"/>
      <c r="G10948" s="19"/>
      <c r="N10948" s="19"/>
      <c r="P10948" s="19"/>
      <c r="AL10948" s="19"/>
    </row>
    <row r="10949" spans="1:38" s="11" customFormat="1" x14ac:dyDescent="0.25">
      <c r="A10949" s="3"/>
      <c r="F10949" s="19"/>
      <c r="G10949" s="19"/>
      <c r="N10949" s="19"/>
      <c r="P10949" s="19"/>
      <c r="AL10949" s="19"/>
    </row>
    <row r="10950" spans="1:38" s="11" customFormat="1" x14ac:dyDescent="0.25">
      <c r="A10950" s="3"/>
      <c r="F10950" s="19"/>
      <c r="G10950" s="19"/>
      <c r="N10950" s="19"/>
      <c r="P10950" s="19"/>
      <c r="AL10950" s="19"/>
    </row>
    <row r="10951" spans="1:38" s="11" customFormat="1" x14ac:dyDescent="0.25">
      <c r="A10951" s="3"/>
      <c r="F10951" s="19"/>
      <c r="G10951" s="19"/>
      <c r="N10951" s="19"/>
      <c r="P10951" s="19"/>
      <c r="AL10951" s="19"/>
    </row>
    <row r="10952" spans="1:38" s="11" customFormat="1" x14ac:dyDescent="0.25">
      <c r="A10952" s="3"/>
      <c r="F10952" s="19"/>
      <c r="G10952" s="19"/>
      <c r="N10952" s="19"/>
      <c r="P10952" s="19"/>
      <c r="AL10952" s="19"/>
    </row>
    <row r="10953" spans="1:38" s="11" customFormat="1" x14ac:dyDescent="0.25">
      <c r="A10953" s="3"/>
      <c r="F10953" s="19"/>
      <c r="G10953" s="19"/>
      <c r="N10953" s="19"/>
      <c r="P10953" s="19"/>
      <c r="AL10953" s="19"/>
    </row>
    <row r="10954" spans="1:38" s="11" customFormat="1" x14ac:dyDescent="0.25">
      <c r="A10954" s="3"/>
      <c r="F10954" s="19"/>
      <c r="G10954" s="19"/>
      <c r="N10954" s="19"/>
      <c r="P10954" s="19"/>
      <c r="AL10954" s="19"/>
    </row>
    <row r="10955" spans="1:38" s="11" customFormat="1" x14ac:dyDescent="0.25">
      <c r="A10955" s="3"/>
      <c r="F10955" s="19"/>
      <c r="G10955" s="19"/>
      <c r="N10955" s="19"/>
      <c r="P10955" s="19"/>
      <c r="AL10955" s="19"/>
    </row>
    <row r="10956" spans="1:38" s="11" customFormat="1" x14ac:dyDescent="0.25">
      <c r="A10956" s="3"/>
      <c r="F10956" s="19"/>
      <c r="G10956" s="19"/>
      <c r="N10956" s="19"/>
      <c r="P10956" s="19"/>
      <c r="AL10956" s="19"/>
    </row>
    <row r="10957" spans="1:38" s="11" customFormat="1" x14ac:dyDescent="0.25">
      <c r="A10957" s="3"/>
      <c r="F10957" s="19"/>
      <c r="G10957" s="19"/>
      <c r="N10957" s="19"/>
      <c r="P10957" s="19"/>
      <c r="AL10957" s="19"/>
    </row>
    <row r="10958" spans="1:38" s="11" customFormat="1" x14ac:dyDescent="0.25">
      <c r="A10958" s="3"/>
      <c r="F10958" s="19"/>
      <c r="G10958" s="19"/>
      <c r="N10958" s="19"/>
      <c r="P10958" s="19"/>
      <c r="AL10958" s="19"/>
    </row>
    <row r="10959" spans="1:38" s="11" customFormat="1" x14ac:dyDescent="0.25">
      <c r="A10959" s="3"/>
      <c r="F10959" s="19"/>
      <c r="G10959" s="19"/>
      <c r="N10959" s="19"/>
      <c r="P10959" s="19"/>
      <c r="AL10959" s="19"/>
    </row>
    <row r="10960" spans="1:38" s="11" customFormat="1" x14ac:dyDescent="0.25">
      <c r="A10960" s="3"/>
      <c r="F10960" s="19"/>
      <c r="G10960" s="19"/>
      <c r="N10960" s="19"/>
      <c r="P10960" s="19"/>
      <c r="AL10960" s="19"/>
    </row>
    <row r="10961" spans="1:38" s="11" customFormat="1" x14ac:dyDescent="0.25">
      <c r="A10961" s="3"/>
      <c r="F10961" s="19"/>
      <c r="G10961" s="19"/>
      <c r="N10961" s="19"/>
      <c r="P10961" s="19"/>
      <c r="AL10961" s="19"/>
    </row>
    <row r="10962" spans="1:38" s="11" customFormat="1" x14ac:dyDescent="0.25">
      <c r="A10962" s="3"/>
      <c r="F10962" s="19"/>
      <c r="G10962" s="19"/>
      <c r="N10962" s="19"/>
      <c r="P10962" s="19"/>
      <c r="AL10962" s="19"/>
    </row>
    <row r="10963" spans="1:38" s="11" customFormat="1" x14ac:dyDescent="0.25">
      <c r="A10963" s="3"/>
      <c r="F10963" s="19"/>
      <c r="G10963" s="19"/>
      <c r="N10963" s="19"/>
      <c r="P10963" s="19"/>
      <c r="AL10963" s="19"/>
    </row>
    <row r="10964" spans="1:38" s="11" customFormat="1" x14ac:dyDescent="0.25">
      <c r="A10964" s="3"/>
      <c r="F10964" s="19"/>
      <c r="G10964" s="19"/>
      <c r="N10964" s="19"/>
      <c r="P10964" s="19"/>
      <c r="AL10964" s="19"/>
    </row>
    <row r="10965" spans="1:38" s="11" customFormat="1" x14ac:dyDescent="0.25">
      <c r="A10965" s="3"/>
      <c r="F10965" s="19"/>
      <c r="G10965" s="19"/>
      <c r="N10965" s="19"/>
      <c r="P10965" s="19"/>
      <c r="AL10965" s="19"/>
    </row>
    <row r="10966" spans="1:38" s="11" customFormat="1" x14ac:dyDescent="0.25">
      <c r="A10966" s="3"/>
      <c r="F10966" s="19"/>
      <c r="G10966" s="19"/>
      <c r="N10966" s="19"/>
      <c r="P10966" s="19"/>
      <c r="AL10966" s="19"/>
    </row>
    <row r="10967" spans="1:38" s="11" customFormat="1" x14ac:dyDescent="0.25">
      <c r="A10967" s="3"/>
      <c r="F10967" s="19"/>
      <c r="G10967" s="19"/>
      <c r="N10967" s="19"/>
      <c r="P10967" s="19"/>
      <c r="AL10967" s="19"/>
    </row>
    <row r="10968" spans="1:38" s="11" customFormat="1" x14ac:dyDescent="0.25">
      <c r="A10968" s="3"/>
      <c r="F10968" s="19"/>
      <c r="G10968" s="19"/>
      <c r="N10968" s="19"/>
      <c r="P10968" s="19"/>
      <c r="AL10968" s="19"/>
    </row>
    <row r="10969" spans="1:38" s="11" customFormat="1" x14ac:dyDescent="0.25">
      <c r="A10969" s="3"/>
      <c r="F10969" s="19"/>
      <c r="G10969" s="19"/>
      <c r="N10969" s="19"/>
      <c r="P10969" s="19"/>
      <c r="AL10969" s="19"/>
    </row>
    <row r="10970" spans="1:38" s="11" customFormat="1" x14ac:dyDescent="0.25">
      <c r="A10970" s="3"/>
      <c r="F10970" s="19"/>
      <c r="G10970" s="19"/>
      <c r="N10970" s="19"/>
      <c r="P10970" s="19"/>
      <c r="AL10970" s="19"/>
    </row>
    <row r="10971" spans="1:38" s="11" customFormat="1" x14ac:dyDescent="0.25">
      <c r="A10971" s="3"/>
      <c r="F10971" s="19"/>
      <c r="G10971" s="19"/>
      <c r="N10971" s="19"/>
      <c r="P10971" s="19"/>
      <c r="AL10971" s="19"/>
    </row>
    <row r="10972" spans="1:38" s="11" customFormat="1" x14ac:dyDescent="0.25">
      <c r="A10972" s="3"/>
      <c r="F10972" s="19"/>
      <c r="G10972" s="19"/>
      <c r="N10972" s="19"/>
      <c r="P10972" s="19"/>
      <c r="AL10972" s="19"/>
    </row>
    <row r="10973" spans="1:38" s="11" customFormat="1" x14ac:dyDescent="0.25">
      <c r="A10973" s="3"/>
      <c r="F10973" s="19"/>
      <c r="G10973" s="19"/>
      <c r="N10973" s="19"/>
      <c r="P10973" s="19"/>
      <c r="AL10973" s="19"/>
    </row>
    <row r="10974" spans="1:38" s="11" customFormat="1" x14ac:dyDescent="0.25">
      <c r="A10974" s="3"/>
      <c r="F10974" s="19"/>
      <c r="G10974" s="19"/>
      <c r="N10974" s="19"/>
      <c r="P10974" s="19"/>
      <c r="AL10974" s="19"/>
    </row>
    <row r="10975" spans="1:38" s="11" customFormat="1" x14ac:dyDescent="0.25">
      <c r="A10975" s="3"/>
      <c r="F10975" s="19"/>
      <c r="G10975" s="19"/>
      <c r="N10975" s="19"/>
      <c r="P10975" s="19"/>
      <c r="AL10975" s="19"/>
    </row>
    <row r="10976" spans="1:38" s="11" customFormat="1" x14ac:dyDescent="0.25">
      <c r="A10976" s="3"/>
      <c r="F10976" s="19"/>
      <c r="G10976" s="19"/>
      <c r="N10976" s="19"/>
      <c r="P10976" s="19"/>
      <c r="AL10976" s="19"/>
    </row>
    <row r="10977" spans="1:38" s="11" customFormat="1" x14ac:dyDescent="0.25">
      <c r="A10977" s="3"/>
      <c r="F10977" s="19"/>
      <c r="G10977" s="19"/>
      <c r="N10977" s="19"/>
      <c r="P10977" s="19"/>
      <c r="AL10977" s="19"/>
    </row>
    <row r="10978" spans="1:38" s="11" customFormat="1" x14ac:dyDescent="0.25">
      <c r="A10978" s="3"/>
      <c r="F10978" s="19"/>
      <c r="G10978" s="19"/>
      <c r="N10978" s="19"/>
      <c r="P10978" s="19"/>
      <c r="AL10978" s="19"/>
    </row>
    <row r="10979" spans="1:38" s="11" customFormat="1" x14ac:dyDescent="0.25">
      <c r="A10979" s="3"/>
      <c r="F10979" s="19"/>
      <c r="G10979" s="19"/>
      <c r="N10979" s="19"/>
      <c r="P10979" s="19"/>
      <c r="AL10979" s="19"/>
    </row>
    <row r="10980" spans="1:38" s="11" customFormat="1" x14ac:dyDescent="0.25">
      <c r="A10980" s="3"/>
      <c r="F10980" s="19"/>
      <c r="G10980" s="19"/>
      <c r="N10980" s="19"/>
      <c r="P10980" s="19"/>
      <c r="AL10980" s="19"/>
    </row>
    <row r="10981" spans="1:38" s="11" customFormat="1" x14ac:dyDescent="0.25">
      <c r="A10981" s="3"/>
      <c r="F10981" s="19"/>
      <c r="G10981" s="19"/>
      <c r="N10981" s="19"/>
      <c r="P10981" s="19"/>
      <c r="AL10981" s="19"/>
    </row>
    <row r="10982" spans="1:38" s="11" customFormat="1" x14ac:dyDescent="0.25">
      <c r="A10982" s="3"/>
      <c r="F10982" s="19"/>
      <c r="G10982" s="19"/>
      <c r="N10982" s="19"/>
      <c r="P10982" s="19"/>
      <c r="AL10982" s="19"/>
    </row>
    <row r="10983" spans="1:38" s="11" customFormat="1" x14ac:dyDescent="0.25">
      <c r="A10983" s="3"/>
      <c r="F10983" s="19"/>
      <c r="G10983" s="19"/>
      <c r="N10983" s="19"/>
      <c r="P10983" s="19"/>
      <c r="AL10983" s="19"/>
    </row>
    <row r="10984" spans="1:38" s="11" customFormat="1" x14ac:dyDescent="0.25">
      <c r="A10984" s="3"/>
      <c r="F10984" s="19"/>
      <c r="G10984" s="19"/>
      <c r="N10984" s="19"/>
      <c r="P10984" s="19"/>
      <c r="AL10984" s="19"/>
    </row>
    <row r="10985" spans="1:38" s="11" customFormat="1" x14ac:dyDescent="0.25">
      <c r="A10985" s="3"/>
      <c r="F10985" s="19"/>
      <c r="G10985" s="19"/>
      <c r="N10985" s="19"/>
      <c r="P10985" s="19"/>
      <c r="AL10985" s="19"/>
    </row>
    <row r="10986" spans="1:38" s="11" customFormat="1" x14ac:dyDescent="0.25">
      <c r="A10986" s="3"/>
      <c r="F10986" s="19"/>
      <c r="G10986" s="19"/>
      <c r="N10986" s="19"/>
      <c r="P10986" s="19"/>
      <c r="AL10986" s="19"/>
    </row>
    <row r="10987" spans="1:38" s="11" customFormat="1" x14ac:dyDescent="0.25">
      <c r="A10987" s="3"/>
      <c r="F10987" s="19"/>
      <c r="G10987" s="19"/>
      <c r="N10987" s="19"/>
      <c r="P10987" s="19"/>
      <c r="AL10987" s="19"/>
    </row>
    <row r="10988" spans="1:38" s="11" customFormat="1" x14ac:dyDescent="0.25">
      <c r="A10988" s="3"/>
      <c r="F10988" s="19"/>
      <c r="G10988" s="19"/>
      <c r="N10988" s="19"/>
      <c r="P10988" s="19"/>
      <c r="AL10988" s="19"/>
    </row>
    <row r="10989" spans="1:38" s="11" customFormat="1" x14ac:dyDescent="0.25">
      <c r="A10989" s="3"/>
      <c r="F10989" s="19"/>
      <c r="G10989" s="19"/>
      <c r="N10989" s="19"/>
      <c r="P10989" s="19"/>
      <c r="AL10989" s="19"/>
    </row>
    <row r="10990" spans="1:38" s="11" customFormat="1" x14ac:dyDescent="0.25">
      <c r="A10990" s="3"/>
      <c r="F10990" s="19"/>
      <c r="G10990" s="19"/>
      <c r="N10990" s="19"/>
      <c r="P10990" s="19"/>
      <c r="AL10990" s="19"/>
    </row>
    <row r="10991" spans="1:38" s="11" customFormat="1" x14ac:dyDescent="0.25">
      <c r="A10991" s="3"/>
      <c r="F10991" s="19"/>
      <c r="G10991" s="19"/>
      <c r="N10991" s="19"/>
      <c r="P10991" s="19"/>
      <c r="AL10991" s="19"/>
    </row>
    <row r="10992" spans="1:38" s="11" customFormat="1" x14ac:dyDescent="0.25">
      <c r="A10992" s="3"/>
      <c r="F10992" s="19"/>
      <c r="G10992" s="19"/>
      <c r="N10992" s="19"/>
      <c r="P10992" s="19"/>
      <c r="AL10992" s="19"/>
    </row>
    <row r="10993" spans="1:38" s="11" customFormat="1" x14ac:dyDescent="0.25">
      <c r="A10993" s="3"/>
      <c r="F10993" s="19"/>
      <c r="G10993" s="19"/>
      <c r="N10993" s="19"/>
      <c r="P10993" s="19"/>
      <c r="AL10993" s="19"/>
    </row>
    <row r="10994" spans="1:38" s="11" customFormat="1" x14ac:dyDescent="0.25">
      <c r="A10994" s="3"/>
      <c r="F10994" s="19"/>
      <c r="G10994" s="19"/>
      <c r="N10994" s="19"/>
      <c r="P10994" s="19"/>
      <c r="AL10994" s="19"/>
    </row>
    <row r="10995" spans="1:38" s="11" customFormat="1" x14ac:dyDescent="0.25">
      <c r="A10995" s="3"/>
      <c r="F10995" s="19"/>
      <c r="G10995" s="19"/>
      <c r="N10995" s="19"/>
      <c r="P10995" s="19"/>
      <c r="AL10995" s="19"/>
    </row>
    <row r="10996" spans="1:38" s="11" customFormat="1" x14ac:dyDescent="0.25">
      <c r="A10996" s="3"/>
      <c r="F10996" s="19"/>
      <c r="G10996" s="19"/>
      <c r="N10996" s="19"/>
      <c r="P10996" s="19"/>
      <c r="AL10996" s="19"/>
    </row>
    <row r="10997" spans="1:38" s="11" customFormat="1" x14ac:dyDescent="0.25">
      <c r="A10997" s="3"/>
      <c r="F10997" s="19"/>
      <c r="G10997" s="19"/>
      <c r="N10997" s="19"/>
      <c r="P10997" s="19"/>
      <c r="AL10997" s="19"/>
    </row>
    <row r="10998" spans="1:38" s="11" customFormat="1" x14ac:dyDescent="0.25">
      <c r="A10998" s="3"/>
      <c r="F10998" s="19"/>
      <c r="G10998" s="19"/>
      <c r="N10998" s="19"/>
      <c r="P10998" s="19"/>
      <c r="AL10998" s="19"/>
    </row>
    <row r="10999" spans="1:38" s="11" customFormat="1" x14ac:dyDescent="0.25">
      <c r="A10999" s="3"/>
      <c r="F10999" s="19"/>
      <c r="G10999" s="19"/>
      <c r="N10999" s="19"/>
      <c r="P10999" s="19"/>
      <c r="AL10999" s="19"/>
    </row>
    <row r="11000" spans="1:38" s="11" customFormat="1" x14ac:dyDescent="0.25">
      <c r="A11000" s="3"/>
      <c r="F11000" s="19"/>
      <c r="G11000" s="19"/>
      <c r="N11000" s="19"/>
      <c r="P11000" s="19"/>
      <c r="AL11000" s="19"/>
    </row>
    <row r="11001" spans="1:38" s="11" customFormat="1" x14ac:dyDescent="0.25">
      <c r="A11001" s="3"/>
      <c r="F11001" s="19"/>
      <c r="G11001" s="19"/>
      <c r="N11001" s="19"/>
      <c r="P11001" s="19"/>
      <c r="AL11001" s="19"/>
    </row>
    <row r="11002" spans="1:38" s="11" customFormat="1" x14ac:dyDescent="0.25">
      <c r="A11002" s="3"/>
      <c r="F11002" s="19"/>
      <c r="G11002" s="19"/>
      <c r="N11002" s="19"/>
      <c r="P11002" s="19"/>
      <c r="AL11002" s="19"/>
    </row>
    <row r="11003" spans="1:38" s="11" customFormat="1" x14ac:dyDescent="0.25">
      <c r="A11003" s="3"/>
      <c r="F11003" s="19"/>
      <c r="G11003" s="19"/>
      <c r="N11003" s="19"/>
      <c r="P11003" s="19"/>
      <c r="AL11003" s="19"/>
    </row>
    <row r="11004" spans="1:38" s="11" customFormat="1" x14ac:dyDescent="0.25">
      <c r="A11004" s="3"/>
      <c r="F11004" s="19"/>
      <c r="G11004" s="19"/>
      <c r="N11004" s="19"/>
      <c r="P11004" s="19"/>
      <c r="AL11004" s="19"/>
    </row>
    <row r="11005" spans="1:38" s="11" customFormat="1" x14ac:dyDescent="0.25">
      <c r="A11005" s="3"/>
      <c r="F11005" s="19"/>
      <c r="G11005" s="19"/>
      <c r="N11005" s="19"/>
      <c r="P11005" s="19"/>
      <c r="AL11005" s="19"/>
    </row>
    <row r="11006" spans="1:38" s="11" customFormat="1" x14ac:dyDescent="0.25">
      <c r="A11006" s="3"/>
      <c r="F11006" s="19"/>
      <c r="G11006" s="19"/>
      <c r="N11006" s="19"/>
      <c r="P11006" s="19"/>
      <c r="AL11006" s="19"/>
    </row>
    <row r="11007" spans="1:38" s="11" customFormat="1" x14ac:dyDescent="0.25">
      <c r="A11007" s="3"/>
      <c r="F11007" s="19"/>
      <c r="G11007" s="19"/>
      <c r="N11007" s="19"/>
      <c r="P11007" s="19"/>
      <c r="AL11007" s="19"/>
    </row>
    <row r="11008" spans="1:38" s="11" customFormat="1" x14ac:dyDescent="0.25">
      <c r="A11008" s="3"/>
      <c r="F11008" s="19"/>
      <c r="G11008" s="19"/>
      <c r="N11008" s="19"/>
      <c r="P11008" s="19"/>
      <c r="AL11008" s="19"/>
    </row>
    <row r="11009" spans="1:38" s="11" customFormat="1" x14ac:dyDescent="0.25">
      <c r="A11009" s="3"/>
      <c r="F11009" s="19"/>
      <c r="G11009" s="19"/>
      <c r="N11009" s="19"/>
      <c r="P11009" s="19"/>
      <c r="AL11009" s="19"/>
    </row>
    <row r="11010" spans="1:38" s="11" customFormat="1" x14ac:dyDescent="0.25">
      <c r="A11010" s="3"/>
      <c r="F11010" s="19"/>
      <c r="G11010" s="19"/>
      <c r="N11010" s="19"/>
      <c r="P11010" s="19"/>
      <c r="AL11010" s="19"/>
    </row>
    <row r="11011" spans="1:38" s="11" customFormat="1" x14ac:dyDescent="0.25">
      <c r="A11011" s="3"/>
      <c r="F11011" s="19"/>
      <c r="G11011" s="19"/>
      <c r="N11011" s="19"/>
      <c r="P11011" s="19"/>
      <c r="AL11011" s="19"/>
    </row>
    <row r="11012" spans="1:38" s="11" customFormat="1" x14ac:dyDescent="0.25">
      <c r="A11012" s="3"/>
      <c r="F11012" s="19"/>
      <c r="G11012" s="19"/>
      <c r="N11012" s="19"/>
      <c r="P11012" s="19"/>
      <c r="AL11012" s="19"/>
    </row>
    <row r="11013" spans="1:38" s="11" customFormat="1" x14ac:dyDescent="0.25">
      <c r="A11013" s="3"/>
      <c r="F11013" s="19"/>
      <c r="G11013" s="19"/>
      <c r="N11013" s="19"/>
      <c r="P11013" s="19"/>
      <c r="AL11013" s="19"/>
    </row>
    <row r="11014" spans="1:38" s="11" customFormat="1" x14ac:dyDescent="0.25">
      <c r="A11014" s="3"/>
      <c r="F11014" s="19"/>
      <c r="G11014" s="19"/>
      <c r="N11014" s="19"/>
      <c r="P11014" s="19"/>
      <c r="AL11014" s="19"/>
    </row>
    <row r="11015" spans="1:38" s="11" customFormat="1" x14ac:dyDescent="0.25">
      <c r="A11015" s="3"/>
      <c r="F11015" s="19"/>
      <c r="G11015" s="19"/>
      <c r="N11015" s="19"/>
      <c r="P11015" s="19"/>
      <c r="AL11015" s="19"/>
    </row>
    <row r="11016" spans="1:38" s="11" customFormat="1" x14ac:dyDescent="0.25">
      <c r="A11016" s="3"/>
      <c r="F11016" s="19"/>
      <c r="G11016" s="19"/>
      <c r="N11016" s="19"/>
      <c r="P11016" s="19"/>
      <c r="AL11016" s="19"/>
    </row>
    <row r="11017" spans="1:38" s="11" customFormat="1" x14ac:dyDescent="0.25">
      <c r="A11017" s="3"/>
      <c r="F11017" s="19"/>
      <c r="G11017" s="19"/>
      <c r="N11017" s="19"/>
      <c r="P11017" s="19"/>
      <c r="AL11017" s="19"/>
    </row>
    <row r="11018" spans="1:38" s="11" customFormat="1" x14ac:dyDescent="0.25">
      <c r="A11018" s="3"/>
      <c r="F11018" s="19"/>
      <c r="G11018" s="19"/>
      <c r="N11018" s="19"/>
      <c r="P11018" s="19"/>
      <c r="AL11018" s="19"/>
    </row>
    <row r="11019" spans="1:38" s="11" customFormat="1" x14ac:dyDescent="0.25">
      <c r="A11019" s="3"/>
      <c r="F11019" s="19"/>
      <c r="G11019" s="19"/>
      <c r="N11019" s="19"/>
      <c r="P11019" s="19"/>
      <c r="AL11019" s="19"/>
    </row>
    <row r="11020" spans="1:38" s="11" customFormat="1" x14ac:dyDescent="0.25">
      <c r="A11020" s="3"/>
      <c r="F11020" s="19"/>
      <c r="G11020" s="19"/>
      <c r="N11020" s="19"/>
      <c r="P11020" s="19"/>
      <c r="AL11020" s="19"/>
    </row>
    <row r="11021" spans="1:38" s="11" customFormat="1" x14ac:dyDescent="0.25">
      <c r="A11021" s="3"/>
      <c r="F11021" s="19"/>
      <c r="G11021" s="19"/>
      <c r="N11021" s="19"/>
      <c r="P11021" s="19"/>
      <c r="AL11021" s="19"/>
    </row>
    <row r="11022" spans="1:38" s="11" customFormat="1" x14ac:dyDescent="0.25">
      <c r="A11022" s="3"/>
      <c r="F11022" s="19"/>
      <c r="G11022" s="19"/>
      <c r="N11022" s="19"/>
      <c r="P11022" s="19"/>
      <c r="AL11022" s="19"/>
    </row>
    <row r="11023" spans="1:38" s="11" customFormat="1" x14ac:dyDescent="0.25">
      <c r="A11023" s="3"/>
      <c r="F11023" s="19"/>
      <c r="G11023" s="19"/>
      <c r="N11023" s="19"/>
      <c r="P11023" s="19"/>
      <c r="AL11023" s="19"/>
    </row>
    <row r="11024" spans="1:38" s="11" customFormat="1" x14ac:dyDescent="0.25">
      <c r="A11024" s="3"/>
      <c r="F11024" s="19"/>
      <c r="G11024" s="19"/>
      <c r="N11024" s="19"/>
      <c r="P11024" s="19"/>
      <c r="AL11024" s="19"/>
    </row>
    <row r="11025" spans="1:38" s="11" customFormat="1" x14ac:dyDescent="0.25">
      <c r="A11025" s="3"/>
      <c r="F11025" s="19"/>
      <c r="G11025" s="19"/>
      <c r="N11025" s="19"/>
      <c r="P11025" s="19"/>
      <c r="AL11025" s="19"/>
    </row>
    <row r="11026" spans="1:38" s="11" customFormat="1" x14ac:dyDescent="0.25">
      <c r="A11026" s="3"/>
      <c r="F11026" s="19"/>
      <c r="G11026" s="19"/>
      <c r="N11026" s="19"/>
      <c r="P11026" s="19"/>
      <c r="AL11026" s="19"/>
    </row>
    <row r="11027" spans="1:38" s="11" customFormat="1" x14ac:dyDescent="0.25">
      <c r="A11027" s="3"/>
      <c r="F11027" s="19"/>
      <c r="G11027" s="19"/>
      <c r="N11027" s="19"/>
      <c r="P11027" s="19"/>
      <c r="AL11027" s="19"/>
    </row>
    <row r="11028" spans="1:38" s="11" customFormat="1" x14ac:dyDescent="0.25">
      <c r="A11028" s="3"/>
      <c r="F11028" s="19"/>
      <c r="G11028" s="19"/>
      <c r="N11028" s="19"/>
      <c r="P11028" s="19"/>
      <c r="AL11028" s="19"/>
    </row>
    <row r="11029" spans="1:38" s="11" customFormat="1" x14ac:dyDescent="0.25">
      <c r="A11029" s="3"/>
      <c r="F11029" s="19"/>
      <c r="G11029" s="19"/>
      <c r="N11029" s="19"/>
      <c r="P11029" s="19"/>
      <c r="AL11029" s="19"/>
    </row>
    <row r="11030" spans="1:38" s="11" customFormat="1" x14ac:dyDescent="0.25">
      <c r="A11030" s="3"/>
      <c r="F11030" s="19"/>
      <c r="G11030" s="19"/>
      <c r="N11030" s="19"/>
      <c r="P11030" s="19"/>
      <c r="AL11030" s="19"/>
    </row>
    <row r="11031" spans="1:38" s="11" customFormat="1" x14ac:dyDescent="0.25">
      <c r="A11031" s="3"/>
      <c r="F11031" s="19"/>
      <c r="G11031" s="19"/>
      <c r="N11031" s="19"/>
      <c r="P11031" s="19"/>
      <c r="AL11031" s="19"/>
    </row>
    <row r="11032" spans="1:38" s="11" customFormat="1" x14ac:dyDescent="0.25">
      <c r="A11032" s="3"/>
      <c r="F11032" s="19"/>
      <c r="G11032" s="19"/>
      <c r="N11032" s="19"/>
      <c r="P11032" s="19"/>
      <c r="AL11032" s="19"/>
    </row>
    <row r="11033" spans="1:38" s="11" customFormat="1" x14ac:dyDescent="0.25">
      <c r="A11033" s="3"/>
      <c r="F11033" s="19"/>
      <c r="G11033" s="19"/>
      <c r="N11033" s="19"/>
      <c r="P11033" s="19"/>
      <c r="AL11033" s="19"/>
    </row>
    <row r="11034" spans="1:38" s="11" customFormat="1" x14ac:dyDescent="0.25">
      <c r="A11034" s="3"/>
      <c r="F11034" s="19"/>
      <c r="G11034" s="19"/>
      <c r="N11034" s="19"/>
      <c r="P11034" s="19"/>
      <c r="AL11034" s="19"/>
    </row>
    <row r="11035" spans="1:38" s="11" customFormat="1" x14ac:dyDescent="0.25">
      <c r="A11035" s="3"/>
      <c r="F11035" s="19"/>
      <c r="G11035" s="19"/>
      <c r="N11035" s="19"/>
      <c r="P11035" s="19"/>
      <c r="AL11035" s="19"/>
    </row>
    <row r="11036" spans="1:38" s="11" customFormat="1" x14ac:dyDescent="0.25">
      <c r="A11036" s="3"/>
      <c r="F11036" s="19"/>
      <c r="G11036" s="19"/>
      <c r="N11036" s="19"/>
      <c r="P11036" s="19"/>
      <c r="AL11036" s="19"/>
    </row>
    <row r="11037" spans="1:38" s="11" customFormat="1" x14ac:dyDescent="0.25">
      <c r="A11037" s="3"/>
      <c r="F11037" s="19"/>
      <c r="G11037" s="19"/>
      <c r="N11037" s="19"/>
      <c r="P11037" s="19"/>
      <c r="AL11037" s="19"/>
    </row>
    <row r="11038" spans="1:38" s="11" customFormat="1" x14ac:dyDescent="0.25">
      <c r="A11038" s="3"/>
      <c r="F11038" s="19"/>
      <c r="G11038" s="19"/>
      <c r="N11038" s="19"/>
      <c r="P11038" s="19"/>
      <c r="AL11038" s="19"/>
    </row>
    <row r="11039" spans="1:38" s="11" customFormat="1" x14ac:dyDescent="0.25">
      <c r="A11039" s="3"/>
      <c r="F11039" s="19"/>
      <c r="G11039" s="19"/>
      <c r="N11039" s="19"/>
      <c r="P11039" s="19"/>
      <c r="AL11039" s="19"/>
    </row>
    <row r="11040" spans="1:38" s="11" customFormat="1" x14ac:dyDescent="0.25">
      <c r="A11040" s="3"/>
      <c r="F11040" s="19"/>
      <c r="G11040" s="19"/>
      <c r="N11040" s="19"/>
      <c r="P11040" s="19"/>
      <c r="AL11040" s="19"/>
    </row>
    <row r="11041" spans="1:38" s="11" customFormat="1" x14ac:dyDescent="0.25">
      <c r="A11041" s="3"/>
      <c r="F11041" s="19"/>
      <c r="G11041" s="19"/>
      <c r="N11041" s="19"/>
      <c r="P11041" s="19"/>
      <c r="AL11041" s="19"/>
    </row>
    <row r="11042" spans="1:38" s="11" customFormat="1" x14ac:dyDescent="0.25">
      <c r="A11042" s="3"/>
      <c r="F11042" s="19"/>
      <c r="G11042" s="19"/>
      <c r="N11042" s="19"/>
      <c r="P11042" s="19"/>
      <c r="AL11042" s="19"/>
    </row>
    <row r="11043" spans="1:38" s="11" customFormat="1" x14ac:dyDescent="0.25">
      <c r="A11043" s="3"/>
      <c r="F11043" s="19"/>
      <c r="G11043" s="19"/>
      <c r="N11043" s="19"/>
      <c r="P11043" s="19"/>
      <c r="AL11043" s="19"/>
    </row>
    <row r="11044" spans="1:38" s="11" customFormat="1" x14ac:dyDescent="0.25">
      <c r="A11044" s="3"/>
      <c r="F11044" s="19"/>
      <c r="G11044" s="19"/>
      <c r="N11044" s="19"/>
      <c r="P11044" s="19"/>
      <c r="AL11044" s="19"/>
    </row>
    <row r="11045" spans="1:38" s="11" customFormat="1" x14ac:dyDescent="0.25">
      <c r="A11045" s="3"/>
      <c r="F11045" s="19"/>
      <c r="G11045" s="19"/>
      <c r="N11045" s="19"/>
      <c r="P11045" s="19"/>
      <c r="AL11045" s="19"/>
    </row>
    <row r="11046" spans="1:38" s="11" customFormat="1" x14ac:dyDescent="0.25">
      <c r="A11046" s="3"/>
      <c r="F11046" s="19"/>
      <c r="G11046" s="19"/>
      <c r="N11046" s="19"/>
      <c r="P11046" s="19"/>
      <c r="AL11046" s="19"/>
    </row>
    <row r="11047" spans="1:38" s="11" customFormat="1" x14ac:dyDescent="0.25">
      <c r="A11047" s="3"/>
      <c r="F11047" s="19"/>
      <c r="G11047" s="19"/>
      <c r="N11047" s="19"/>
      <c r="P11047" s="19"/>
      <c r="AL11047" s="19"/>
    </row>
    <row r="11048" spans="1:38" s="11" customFormat="1" x14ac:dyDescent="0.25">
      <c r="A11048" s="3"/>
      <c r="F11048" s="19"/>
      <c r="G11048" s="19"/>
      <c r="N11048" s="19"/>
      <c r="P11048" s="19"/>
      <c r="AL11048" s="19"/>
    </row>
    <row r="11049" spans="1:38" s="11" customFormat="1" x14ac:dyDescent="0.25">
      <c r="A11049" s="3"/>
      <c r="F11049" s="19"/>
      <c r="G11049" s="19"/>
      <c r="N11049" s="19"/>
      <c r="P11049" s="19"/>
      <c r="AL11049" s="19"/>
    </row>
    <row r="11050" spans="1:38" s="11" customFormat="1" x14ac:dyDescent="0.25">
      <c r="A11050" s="3"/>
      <c r="F11050" s="19"/>
      <c r="G11050" s="19"/>
      <c r="N11050" s="19"/>
      <c r="P11050" s="19"/>
      <c r="AL11050" s="19"/>
    </row>
    <row r="11051" spans="1:38" s="11" customFormat="1" x14ac:dyDescent="0.25">
      <c r="A11051" s="3"/>
      <c r="F11051" s="19"/>
      <c r="G11051" s="19"/>
      <c r="N11051" s="19"/>
      <c r="P11051" s="19"/>
      <c r="AL11051" s="19"/>
    </row>
    <row r="11052" spans="1:38" s="11" customFormat="1" x14ac:dyDescent="0.25">
      <c r="A11052" s="3"/>
      <c r="F11052" s="19"/>
      <c r="G11052" s="19"/>
      <c r="N11052" s="19"/>
      <c r="P11052" s="19"/>
      <c r="AL11052" s="19"/>
    </row>
    <row r="11053" spans="1:38" s="11" customFormat="1" x14ac:dyDescent="0.25">
      <c r="A11053" s="3"/>
      <c r="F11053" s="19"/>
      <c r="G11053" s="19"/>
      <c r="N11053" s="19"/>
      <c r="P11053" s="19"/>
      <c r="AL11053" s="19"/>
    </row>
    <row r="11054" spans="1:38" s="11" customFormat="1" x14ac:dyDescent="0.25">
      <c r="A11054" s="3"/>
      <c r="F11054" s="19"/>
      <c r="G11054" s="19"/>
      <c r="N11054" s="19"/>
      <c r="P11054" s="19"/>
      <c r="AL11054" s="19"/>
    </row>
    <row r="11055" spans="1:38" s="11" customFormat="1" x14ac:dyDescent="0.25">
      <c r="A11055" s="3"/>
      <c r="F11055" s="19"/>
      <c r="G11055" s="19"/>
      <c r="N11055" s="19"/>
      <c r="P11055" s="19"/>
      <c r="AL11055" s="19"/>
    </row>
    <row r="11056" spans="1:38" s="11" customFormat="1" x14ac:dyDescent="0.25">
      <c r="A11056" s="3"/>
      <c r="F11056" s="19"/>
      <c r="G11056" s="19"/>
      <c r="N11056" s="19"/>
      <c r="P11056" s="19"/>
      <c r="AL11056" s="19"/>
    </row>
    <row r="11057" spans="1:38" s="11" customFormat="1" x14ac:dyDescent="0.25">
      <c r="A11057" s="3"/>
      <c r="F11057" s="19"/>
      <c r="G11057" s="19"/>
      <c r="N11057" s="19"/>
      <c r="P11057" s="19"/>
      <c r="AL11057" s="19"/>
    </row>
    <row r="11058" spans="1:38" s="11" customFormat="1" x14ac:dyDescent="0.25">
      <c r="A11058" s="3"/>
      <c r="F11058" s="19"/>
      <c r="G11058" s="19"/>
      <c r="N11058" s="19"/>
      <c r="P11058" s="19"/>
      <c r="AL11058" s="19"/>
    </row>
    <row r="11059" spans="1:38" s="11" customFormat="1" x14ac:dyDescent="0.25">
      <c r="A11059" s="3"/>
      <c r="F11059" s="19"/>
      <c r="G11059" s="19"/>
      <c r="N11059" s="19"/>
      <c r="P11059" s="19"/>
      <c r="AL11059" s="19"/>
    </row>
    <row r="11060" spans="1:38" s="11" customFormat="1" x14ac:dyDescent="0.25">
      <c r="A11060" s="3"/>
      <c r="F11060" s="19"/>
      <c r="G11060" s="19"/>
      <c r="N11060" s="19"/>
      <c r="P11060" s="19"/>
      <c r="AL11060" s="19"/>
    </row>
    <row r="11061" spans="1:38" s="11" customFormat="1" x14ac:dyDescent="0.25">
      <c r="A11061" s="3"/>
      <c r="F11061" s="19"/>
      <c r="G11061" s="19"/>
      <c r="N11061" s="19"/>
      <c r="P11061" s="19"/>
      <c r="AL11061" s="19"/>
    </row>
    <row r="11062" spans="1:38" s="11" customFormat="1" x14ac:dyDescent="0.25">
      <c r="A11062" s="3"/>
      <c r="F11062" s="19"/>
      <c r="G11062" s="19"/>
      <c r="N11062" s="19"/>
      <c r="P11062" s="19"/>
      <c r="AL11062" s="19"/>
    </row>
    <row r="11063" spans="1:38" s="11" customFormat="1" x14ac:dyDescent="0.25">
      <c r="A11063" s="3"/>
      <c r="F11063" s="19"/>
      <c r="G11063" s="19"/>
      <c r="N11063" s="19"/>
      <c r="P11063" s="19"/>
      <c r="AL11063" s="19"/>
    </row>
    <row r="11064" spans="1:38" s="11" customFormat="1" x14ac:dyDescent="0.25">
      <c r="A11064" s="3"/>
      <c r="F11064" s="19"/>
      <c r="G11064" s="19"/>
      <c r="N11064" s="19"/>
      <c r="P11064" s="19"/>
      <c r="AL11064" s="19"/>
    </row>
    <row r="11065" spans="1:38" s="11" customFormat="1" x14ac:dyDescent="0.25">
      <c r="A11065" s="3"/>
      <c r="F11065" s="19"/>
      <c r="G11065" s="19"/>
      <c r="N11065" s="19"/>
      <c r="P11065" s="19"/>
      <c r="AL11065" s="19"/>
    </row>
    <row r="11066" spans="1:38" s="11" customFormat="1" x14ac:dyDescent="0.25">
      <c r="A11066" s="3"/>
      <c r="F11066" s="19"/>
      <c r="G11066" s="19"/>
      <c r="N11066" s="19"/>
      <c r="P11066" s="19"/>
      <c r="AL11066" s="19"/>
    </row>
    <row r="11067" spans="1:38" s="11" customFormat="1" x14ac:dyDescent="0.25">
      <c r="A11067" s="3"/>
      <c r="F11067" s="19"/>
      <c r="G11067" s="19"/>
      <c r="N11067" s="19"/>
      <c r="P11067" s="19"/>
      <c r="AL11067" s="19"/>
    </row>
    <row r="11068" spans="1:38" s="11" customFormat="1" x14ac:dyDescent="0.25">
      <c r="A11068" s="3"/>
      <c r="F11068" s="19"/>
      <c r="G11068" s="19"/>
      <c r="N11068" s="19"/>
      <c r="P11068" s="19"/>
      <c r="AL11068" s="19"/>
    </row>
    <row r="11069" spans="1:38" s="11" customFormat="1" x14ac:dyDescent="0.25">
      <c r="A11069" s="3"/>
      <c r="F11069" s="19"/>
      <c r="G11069" s="19"/>
      <c r="N11069" s="19"/>
      <c r="P11069" s="19"/>
      <c r="AL11069" s="19"/>
    </row>
    <row r="11070" spans="1:38" s="11" customFormat="1" x14ac:dyDescent="0.25">
      <c r="A11070" s="3"/>
      <c r="F11070" s="19"/>
      <c r="G11070" s="19"/>
      <c r="N11070" s="19"/>
      <c r="P11070" s="19"/>
      <c r="AL11070" s="19"/>
    </row>
    <row r="11071" spans="1:38" s="11" customFormat="1" x14ac:dyDescent="0.25">
      <c r="A11071" s="3"/>
      <c r="F11071" s="19"/>
      <c r="G11071" s="19"/>
      <c r="N11071" s="19"/>
      <c r="P11071" s="19"/>
      <c r="AL11071" s="19"/>
    </row>
    <row r="11072" spans="1:38" s="11" customFormat="1" x14ac:dyDescent="0.25">
      <c r="A11072" s="3"/>
      <c r="F11072" s="19"/>
      <c r="G11072" s="19"/>
      <c r="N11072" s="19"/>
      <c r="P11072" s="19"/>
      <c r="AL11072" s="19"/>
    </row>
    <row r="11073" spans="1:38" s="11" customFormat="1" x14ac:dyDescent="0.25">
      <c r="A11073" s="3"/>
      <c r="F11073" s="19"/>
      <c r="G11073" s="19"/>
      <c r="N11073" s="19"/>
      <c r="P11073" s="19"/>
      <c r="AL11073" s="19"/>
    </row>
    <row r="11074" spans="1:38" s="11" customFormat="1" x14ac:dyDescent="0.25">
      <c r="A11074" s="3"/>
      <c r="F11074" s="19"/>
      <c r="G11074" s="19"/>
      <c r="N11074" s="19"/>
      <c r="P11074" s="19"/>
      <c r="AL11074" s="19"/>
    </row>
    <row r="11075" spans="1:38" s="11" customFormat="1" x14ac:dyDescent="0.25">
      <c r="A11075" s="3"/>
      <c r="F11075" s="19"/>
      <c r="G11075" s="19"/>
      <c r="N11075" s="19"/>
      <c r="P11075" s="19"/>
      <c r="AL11075" s="19"/>
    </row>
    <row r="11076" spans="1:38" s="11" customFormat="1" x14ac:dyDescent="0.25">
      <c r="A11076" s="3"/>
      <c r="F11076" s="19"/>
      <c r="G11076" s="19"/>
      <c r="N11076" s="19"/>
      <c r="P11076" s="19"/>
      <c r="AL11076" s="19"/>
    </row>
    <row r="11077" spans="1:38" s="11" customFormat="1" x14ac:dyDescent="0.25">
      <c r="A11077" s="3"/>
      <c r="F11077" s="19"/>
      <c r="G11077" s="19"/>
      <c r="N11077" s="19"/>
      <c r="P11077" s="19"/>
      <c r="AL11077" s="19"/>
    </row>
    <row r="11078" spans="1:38" s="11" customFormat="1" x14ac:dyDescent="0.25">
      <c r="A11078" s="3"/>
      <c r="F11078" s="19"/>
      <c r="G11078" s="19"/>
      <c r="N11078" s="19"/>
      <c r="P11078" s="19"/>
      <c r="AL11078" s="19"/>
    </row>
    <row r="11079" spans="1:38" s="11" customFormat="1" x14ac:dyDescent="0.25">
      <c r="A11079" s="3"/>
      <c r="F11079" s="19"/>
      <c r="G11079" s="19"/>
      <c r="N11079" s="19"/>
      <c r="P11079" s="19"/>
      <c r="AL11079" s="19"/>
    </row>
    <row r="11080" spans="1:38" s="11" customFormat="1" x14ac:dyDescent="0.25">
      <c r="A11080" s="3"/>
      <c r="F11080" s="19"/>
      <c r="G11080" s="19"/>
      <c r="N11080" s="19"/>
      <c r="P11080" s="19"/>
      <c r="AL11080" s="19"/>
    </row>
    <row r="11081" spans="1:38" s="11" customFormat="1" x14ac:dyDescent="0.25">
      <c r="A11081" s="3"/>
      <c r="F11081" s="19"/>
      <c r="G11081" s="19"/>
      <c r="N11081" s="19"/>
      <c r="P11081" s="19"/>
      <c r="AL11081" s="19"/>
    </row>
    <row r="11082" spans="1:38" s="11" customFormat="1" x14ac:dyDescent="0.25">
      <c r="A11082" s="3"/>
      <c r="F11082" s="19"/>
      <c r="G11082" s="19"/>
      <c r="N11082" s="19"/>
      <c r="P11082" s="19"/>
      <c r="AL11082" s="19"/>
    </row>
    <row r="11083" spans="1:38" s="11" customFormat="1" x14ac:dyDescent="0.25">
      <c r="A11083" s="3"/>
      <c r="F11083" s="19"/>
      <c r="G11083" s="19"/>
      <c r="N11083" s="19"/>
      <c r="P11083" s="19"/>
      <c r="AL11083" s="19"/>
    </row>
    <row r="11084" spans="1:38" s="11" customFormat="1" x14ac:dyDescent="0.25">
      <c r="A11084" s="3"/>
      <c r="F11084" s="19"/>
      <c r="G11084" s="19"/>
      <c r="N11084" s="19"/>
      <c r="P11084" s="19"/>
      <c r="AL11084" s="19"/>
    </row>
    <row r="11085" spans="1:38" s="11" customFormat="1" x14ac:dyDescent="0.25">
      <c r="A11085" s="3"/>
      <c r="F11085" s="19"/>
      <c r="G11085" s="19"/>
      <c r="N11085" s="19"/>
      <c r="P11085" s="19"/>
      <c r="AL11085" s="19"/>
    </row>
    <row r="11086" spans="1:38" s="11" customFormat="1" x14ac:dyDescent="0.25">
      <c r="A11086" s="3"/>
      <c r="F11086" s="19"/>
      <c r="G11086" s="19"/>
      <c r="N11086" s="19"/>
      <c r="P11086" s="19"/>
      <c r="AL11086" s="19"/>
    </row>
    <row r="11087" spans="1:38" s="11" customFormat="1" x14ac:dyDescent="0.25">
      <c r="A11087" s="3"/>
      <c r="F11087" s="19"/>
      <c r="G11087" s="19"/>
      <c r="N11087" s="19"/>
      <c r="P11087" s="19"/>
      <c r="AL11087" s="19"/>
    </row>
    <row r="11088" spans="1:38" s="11" customFormat="1" x14ac:dyDescent="0.25">
      <c r="A11088" s="3"/>
      <c r="F11088" s="19"/>
      <c r="G11088" s="19"/>
      <c r="N11088" s="19"/>
      <c r="P11088" s="19"/>
      <c r="AL11088" s="19"/>
    </row>
    <row r="11089" spans="1:38" s="11" customFormat="1" x14ac:dyDescent="0.25">
      <c r="A11089" s="3"/>
      <c r="F11089" s="19"/>
      <c r="G11089" s="19"/>
      <c r="N11089" s="19"/>
      <c r="P11089" s="19"/>
      <c r="AL11089" s="19"/>
    </row>
    <row r="11090" spans="1:38" s="11" customFormat="1" x14ac:dyDescent="0.25">
      <c r="A11090" s="3"/>
      <c r="F11090" s="19"/>
      <c r="G11090" s="19"/>
      <c r="N11090" s="19"/>
      <c r="P11090" s="19"/>
      <c r="AL11090" s="19"/>
    </row>
    <row r="11091" spans="1:38" s="11" customFormat="1" x14ac:dyDescent="0.25">
      <c r="A11091" s="3"/>
      <c r="F11091" s="19"/>
      <c r="G11091" s="19"/>
      <c r="N11091" s="19"/>
      <c r="P11091" s="19"/>
      <c r="AL11091" s="19"/>
    </row>
    <row r="11092" spans="1:38" s="11" customFormat="1" x14ac:dyDescent="0.25">
      <c r="A11092" s="3"/>
      <c r="F11092" s="19"/>
      <c r="G11092" s="19"/>
      <c r="N11092" s="19"/>
      <c r="P11092" s="19"/>
      <c r="AL11092" s="19"/>
    </row>
    <row r="11093" spans="1:38" s="11" customFormat="1" x14ac:dyDescent="0.25">
      <c r="A11093" s="3"/>
      <c r="F11093" s="19"/>
      <c r="G11093" s="19"/>
      <c r="N11093" s="19"/>
      <c r="P11093" s="19"/>
      <c r="AL11093" s="19"/>
    </row>
    <row r="11094" spans="1:38" s="11" customFormat="1" x14ac:dyDescent="0.25">
      <c r="A11094" s="3"/>
      <c r="F11094" s="19"/>
      <c r="G11094" s="19"/>
      <c r="N11094" s="19"/>
      <c r="P11094" s="19"/>
      <c r="AL11094" s="19"/>
    </row>
    <row r="11095" spans="1:38" s="11" customFormat="1" x14ac:dyDescent="0.25">
      <c r="A11095" s="3"/>
      <c r="F11095" s="19"/>
      <c r="G11095" s="19"/>
      <c r="N11095" s="19"/>
      <c r="P11095" s="19"/>
      <c r="AL11095" s="19"/>
    </row>
    <row r="11096" spans="1:38" s="11" customFormat="1" x14ac:dyDescent="0.25">
      <c r="A11096" s="3"/>
      <c r="F11096" s="19"/>
      <c r="G11096" s="19"/>
      <c r="N11096" s="19"/>
      <c r="P11096" s="19"/>
      <c r="AL11096" s="19"/>
    </row>
    <row r="11097" spans="1:38" s="11" customFormat="1" x14ac:dyDescent="0.25">
      <c r="A11097" s="3"/>
      <c r="F11097" s="19"/>
      <c r="G11097" s="19"/>
      <c r="N11097" s="19"/>
      <c r="P11097" s="19"/>
      <c r="AL11097" s="19"/>
    </row>
    <row r="11098" spans="1:38" s="11" customFormat="1" x14ac:dyDescent="0.25">
      <c r="A11098" s="3"/>
      <c r="F11098" s="19"/>
      <c r="G11098" s="19"/>
      <c r="N11098" s="19"/>
      <c r="P11098" s="19"/>
      <c r="AL11098" s="19"/>
    </row>
    <row r="11099" spans="1:38" s="11" customFormat="1" x14ac:dyDescent="0.25">
      <c r="A11099" s="3"/>
      <c r="F11099" s="19"/>
      <c r="G11099" s="19"/>
      <c r="N11099" s="19"/>
      <c r="P11099" s="19"/>
      <c r="AL11099" s="19"/>
    </row>
    <row r="11100" spans="1:38" s="11" customFormat="1" x14ac:dyDescent="0.25">
      <c r="A11100" s="3"/>
      <c r="F11100" s="19"/>
      <c r="G11100" s="19"/>
      <c r="N11100" s="19"/>
      <c r="P11100" s="19"/>
      <c r="AL11100" s="19"/>
    </row>
    <row r="11101" spans="1:38" s="11" customFormat="1" x14ac:dyDescent="0.25">
      <c r="A11101" s="3"/>
      <c r="F11101" s="19"/>
      <c r="G11101" s="19"/>
      <c r="N11101" s="19"/>
      <c r="P11101" s="19"/>
      <c r="AL11101" s="19"/>
    </row>
    <row r="11102" spans="1:38" s="11" customFormat="1" x14ac:dyDescent="0.25">
      <c r="A11102" s="3"/>
      <c r="F11102" s="19"/>
      <c r="G11102" s="19"/>
      <c r="N11102" s="19"/>
      <c r="P11102" s="19"/>
      <c r="AL11102" s="19"/>
    </row>
    <row r="11103" spans="1:38" s="11" customFormat="1" x14ac:dyDescent="0.25">
      <c r="A11103" s="3"/>
      <c r="F11103" s="19"/>
      <c r="G11103" s="19"/>
      <c r="N11103" s="19"/>
      <c r="P11103" s="19"/>
      <c r="AL11103" s="19"/>
    </row>
    <row r="11104" spans="1:38" s="11" customFormat="1" x14ac:dyDescent="0.25">
      <c r="A11104" s="3"/>
      <c r="F11104" s="19"/>
      <c r="G11104" s="19"/>
      <c r="N11104" s="19"/>
      <c r="P11104" s="19"/>
      <c r="AL11104" s="19"/>
    </row>
    <row r="11105" spans="1:38" s="11" customFormat="1" x14ac:dyDescent="0.25">
      <c r="A11105" s="3"/>
      <c r="F11105" s="19"/>
      <c r="G11105" s="19"/>
      <c r="N11105" s="19"/>
      <c r="P11105" s="19"/>
      <c r="AL11105" s="19"/>
    </row>
    <row r="11106" spans="1:38" s="11" customFormat="1" x14ac:dyDescent="0.25">
      <c r="A11106" s="3"/>
      <c r="F11106" s="19"/>
      <c r="G11106" s="19"/>
      <c r="N11106" s="19"/>
      <c r="P11106" s="19"/>
      <c r="AL11106" s="19"/>
    </row>
    <row r="11107" spans="1:38" s="11" customFormat="1" x14ac:dyDescent="0.25">
      <c r="A11107" s="3"/>
      <c r="F11107" s="19"/>
      <c r="G11107" s="19"/>
      <c r="N11107" s="19"/>
      <c r="P11107" s="19"/>
      <c r="AL11107" s="19"/>
    </row>
    <row r="11108" spans="1:38" s="11" customFormat="1" x14ac:dyDescent="0.25">
      <c r="A11108" s="3"/>
      <c r="F11108" s="19"/>
      <c r="G11108" s="19"/>
      <c r="N11108" s="19"/>
      <c r="P11108" s="19"/>
      <c r="AL11108" s="19"/>
    </row>
    <row r="11109" spans="1:38" s="11" customFormat="1" x14ac:dyDescent="0.25">
      <c r="A11109" s="3"/>
      <c r="F11109" s="19"/>
      <c r="G11109" s="19"/>
      <c r="N11109" s="19"/>
      <c r="P11109" s="19"/>
      <c r="AL11109" s="19"/>
    </row>
    <row r="11110" spans="1:38" s="11" customFormat="1" x14ac:dyDescent="0.25">
      <c r="A11110" s="3"/>
      <c r="F11110" s="19"/>
      <c r="G11110" s="19"/>
      <c r="N11110" s="19"/>
      <c r="P11110" s="19"/>
      <c r="AL11110" s="19"/>
    </row>
    <row r="11111" spans="1:38" s="11" customFormat="1" x14ac:dyDescent="0.25">
      <c r="A11111" s="3"/>
      <c r="F11111" s="19"/>
      <c r="G11111" s="19"/>
      <c r="N11111" s="19"/>
      <c r="P11111" s="19"/>
      <c r="AL11111" s="19"/>
    </row>
    <row r="11112" spans="1:38" s="11" customFormat="1" x14ac:dyDescent="0.25">
      <c r="A11112" s="3"/>
      <c r="F11112" s="19"/>
      <c r="G11112" s="19"/>
      <c r="N11112" s="19"/>
      <c r="P11112" s="19"/>
      <c r="AL11112" s="19"/>
    </row>
    <row r="11113" spans="1:38" s="11" customFormat="1" x14ac:dyDescent="0.25">
      <c r="A11113" s="3"/>
      <c r="F11113" s="19"/>
      <c r="G11113" s="19"/>
      <c r="N11113" s="19"/>
      <c r="P11113" s="19"/>
      <c r="AL11113" s="19"/>
    </row>
    <row r="11114" spans="1:38" s="11" customFormat="1" x14ac:dyDescent="0.25">
      <c r="A11114" s="3"/>
      <c r="F11114" s="19"/>
      <c r="G11114" s="19"/>
      <c r="N11114" s="19"/>
      <c r="P11114" s="19"/>
      <c r="AL11114" s="19"/>
    </row>
    <row r="11115" spans="1:38" s="11" customFormat="1" x14ac:dyDescent="0.25">
      <c r="A11115" s="3"/>
      <c r="F11115" s="19"/>
      <c r="G11115" s="19"/>
      <c r="N11115" s="19"/>
      <c r="P11115" s="19"/>
      <c r="AL11115" s="19"/>
    </row>
    <row r="11116" spans="1:38" s="11" customFormat="1" x14ac:dyDescent="0.25">
      <c r="A11116" s="3"/>
      <c r="F11116" s="19"/>
      <c r="G11116" s="19"/>
      <c r="N11116" s="19"/>
      <c r="P11116" s="19"/>
      <c r="AL11116" s="19"/>
    </row>
    <row r="11117" spans="1:38" s="11" customFormat="1" x14ac:dyDescent="0.25">
      <c r="A11117" s="3"/>
      <c r="F11117" s="19"/>
      <c r="G11117" s="19"/>
      <c r="N11117" s="19"/>
      <c r="P11117" s="19"/>
      <c r="AL11117" s="19"/>
    </row>
    <row r="11118" spans="1:38" s="11" customFormat="1" x14ac:dyDescent="0.25">
      <c r="A11118" s="3"/>
      <c r="F11118" s="19"/>
      <c r="G11118" s="19"/>
      <c r="N11118" s="19"/>
      <c r="P11118" s="19"/>
      <c r="AL11118" s="19"/>
    </row>
    <row r="11119" spans="1:38" s="11" customFormat="1" x14ac:dyDescent="0.25">
      <c r="A11119" s="3"/>
      <c r="F11119" s="19"/>
      <c r="G11119" s="19"/>
      <c r="N11119" s="19"/>
      <c r="P11119" s="19"/>
      <c r="AL11119" s="19"/>
    </row>
    <row r="11120" spans="1:38" s="11" customFormat="1" x14ac:dyDescent="0.25">
      <c r="A11120" s="3"/>
      <c r="F11120" s="19"/>
      <c r="G11120" s="19"/>
      <c r="N11120" s="19"/>
      <c r="P11120" s="19"/>
      <c r="AL11120" s="19"/>
    </row>
    <row r="11121" spans="1:38" s="11" customFormat="1" x14ac:dyDescent="0.25">
      <c r="A11121" s="3"/>
      <c r="F11121" s="19"/>
      <c r="G11121" s="19"/>
      <c r="N11121" s="19"/>
      <c r="P11121" s="19"/>
      <c r="AL11121" s="19"/>
    </row>
    <row r="11122" spans="1:38" s="11" customFormat="1" x14ac:dyDescent="0.25">
      <c r="A11122" s="3"/>
      <c r="F11122" s="19"/>
      <c r="G11122" s="19"/>
      <c r="N11122" s="19"/>
      <c r="P11122" s="19"/>
      <c r="AL11122" s="19"/>
    </row>
    <row r="11123" spans="1:38" s="11" customFormat="1" x14ac:dyDescent="0.25">
      <c r="A11123" s="3"/>
      <c r="F11123" s="19"/>
      <c r="G11123" s="19"/>
      <c r="N11123" s="19"/>
      <c r="P11123" s="19"/>
      <c r="AL11123" s="19"/>
    </row>
    <row r="11124" spans="1:38" s="11" customFormat="1" x14ac:dyDescent="0.25">
      <c r="A11124" s="3"/>
      <c r="F11124" s="19"/>
      <c r="G11124" s="19"/>
      <c r="N11124" s="19"/>
      <c r="P11124" s="19"/>
      <c r="AL11124" s="19"/>
    </row>
    <row r="11125" spans="1:38" s="11" customFormat="1" x14ac:dyDescent="0.25">
      <c r="A11125" s="3"/>
      <c r="F11125" s="19"/>
      <c r="G11125" s="19"/>
      <c r="N11125" s="19"/>
      <c r="P11125" s="19"/>
      <c r="AL11125" s="19"/>
    </row>
    <row r="11126" spans="1:38" s="11" customFormat="1" x14ac:dyDescent="0.25">
      <c r="A11126" s="3"/>
      <c r="F11126" s="19"/>
      <c r="G11126" s="19"/>
      <c r="N11126" s="19"/>
      <c r="P11126" s="19"/>
      <c r="AL11126" s="19"/>
    </row>
    <row r="11127" spans="1:38" s="11" customFormat="1" x14ac:dyDescent="0.25">
      <c r="A11127" s="3"/>
      <c r="F11127" s="19"/>
      <c r="G11127" s="19"/>
      <c r="N11127" s="19"/>
      <c r="P11127" s="19"/>
      <c r="AL11127" s="19"/>
    </row>
    <row r="11128" spans="1:38" s="11" customFormat="1" x14ac:dyDescent="0.25">
      <c r="A11128" s="3"/>
      <c r="F11128" s="19"/>
      <c r="G11128" s="19"/>
      <c r="N11128" s="19"/>
      <c r="P11128" s="19"/>
      <c r="AL11128" s="19"/>
    </row>
    <row r="11129" spans="1:38" s="11" customFormat="1" x14ac:dyDescent="0.25">
      <c r="A11129" s="3"/>
      <c r="F11129" s="19"/>
      <c r="G11129" s="19"/>
      <c r="N11129" s="19"/>
      <c r="P11129" s="19"/>
      <c r="AL11129" s="19"/>
    </row>
    <row r="11130" spans="1:38" s="11" customFormat="1" x14ac:dyDescent="0.25">
      <c r="A11130" s="3"/>
      <c r="F11130" s="19"/>
      <c r="G11130" s="19"/>
      <c r="N11130" s="19"/>
      <c r="P11130" s="19"/>
      <c r="AL11130" s="19"/>
    </row>
    <row r="11131" spans="1:38" s="11" customFormat="1" x14ac:dyDescent="0.25">
      <c r="A11131" s="3"/>
      <c r="F11131" s="19"/>
      <c r="G11131" s="19"/>
      <c r="N11131" s="19"/>
      <c r="P11131" s="19"/>
      <c r="AL11131" s="19"/>
    </row>
    <row r="11132" spans="1:38" s="11" customFormat="1" x14ac:dyDescent="0.25">
      <c r="A11132" s="3"/>
      <c r="F11132" s="19"/>
      <c r="G11132" s="19"/>
      <c r="N11132" s="19"/>
      <c r="P11132" s="19"/>
      <c r="AL11132" s="19"/>
    </row>
    <row r="11133" spans="1:38" s="11" customFormat="1" x14ac:dyDescent="0.25">
      <c r="A11133" s="3"/>
      <c r="F11133" s="19"/>
      <c r="G11133" s="19"/>
      <c r="N11133" s="19"/>
      <c r="P11133" s="19"/>
      <c r="AL11133" s="19"/>
    </row>
    <row r="11134" spans="1:38" s="11" customFormat="1" x14ac:dyDescent="0.25">
      <c r="A11134" s="3"/>
      <c r="F11134" s="19"/>
      <c r="G11134" s="19"/>
      <c r="N11134" s="19"/>
      <c r="P11134" s="19"/>
      <c r="AL11134" s="19"/>
    </row>
    <row r="11135" spans="1:38" s="11" customFormat="1" x14ac:dyDescent="0.25">
      <c r="A11135" s="3"/>
      <c r="F11135" s="19"/>
      <c r="G11135" s="19"/>
      <c r="N11135" s="19"/>
      <c r="P11135" s="19"/>
      <c r="AL11135" s="19"/>
    </row>
    <row r="11136" spans="1:38" s="11" customFormat="1" x14ac:dyDescent="0.25">
      <c r="A11136" s="3"/>
      <c r="F11136" s="19"/>
      <c r="G11136" s="19"/>
      <c r="N11136" s="19"/>
      <c r="P11136" s="19"/>
      <c r="AL11136" s="19"/>
    </row>
    <row r="11137" spans="1:38" s="11" customFormat="1" x14ac:dyDescent="0.25">
      <c r="A11137" s="3"/>
      <c r="F11137" s="19"/>
      <c r="G11137" s="19"/>
      <c r="N11137" s="19"/>
      <c r="P11137" s="19"/>
      <c r="AL11137" s="19"/>
    </row>
    <row r="11138" spans="1:38" s="11" customFormat="1" x14ac:dyDescent="0.25">
      <c r="A11138" s="3"/>
      <c r="F11138" s="19"/>
      <c r="G11138" s="19"/>
      <c r="N11138" s="19"/>
      <c r="P11138" s="19"/>
      <c r="AL11138" s="19"/>
    </row>
    <row r="11139" spans="1:38" s="11" customFormat="1" x14ac:dyDescent="0.25">
      <c r="A11139" s="3"/>
      <c r="F11139" s="19"/>
      <c r="G11139" s="19"/>
      <c r="N11139" s="19"/>
      <c r="P11139" s="19"/>
      <c r="AL11139" s="19"/>
    </row>
    <row r="11140" spans="1:38" s="11" customFormat="1" x14ac:dyDescent="0.25">
      <c r="A11140" s="3"/>
      <c r="F11140" s="19"/>
      <c r="G11140" s="19"/>
      <c r="N11140" s="19"/>
      <c r="P11140" s="19"/>
      <c r="AL11140" s="19"/>
    </row>
    <row r="11141" spans="1:38" s="11" customFormat="1" x14ac:dyDescent="0.25">
      <c r="A11141" s="3"/>
      <c r="F11141" s="19"/>
      <c r="G11141" s="19"/>
      <c r="N11141" s="19"/>
      <c r="P11141" s="19"/>
      <c r="AL11141" s="19"/>
    </row>
    <row r="11142" spans="1:38" s="11" customFormat="1" x14ac:dyDescent="0.25">
      <c r="A11142" s="3"/>
      <c r="F11142" s="19"/>
      <c r="G11142" s="19"/>
      <c r="N11142" s="19"/>
      <c r="P11142" s="19"/>
      <c r="AL11142" s="19"/>
    </row>
    <row r="11143" spans="1:38" s="11" customFormat="1" x14ac:dyDescent="0.25">
      <c r="A11143" s="3"/>
      <c r="F11143" s="19"/>
      <c r="G11143" s="19"/>
      <c r="N11143" s="19"/>
      <c r="P11143" s="19"/>
      <c r="AL11143" s="19"/>
    </row>
    <row r="11144" spans="1:38" s="11" customFormat="1" x14ac:dyDescent="0.25">
      <c r="A11144" s="3"/>
      <c r="F11144" s="19"/>
      <c r="G11144" s="19"/>
      <c r="N11144" s="19"/>
      <c r="P11144" s="19"/>
      <c r="AL11144" s="19"/>
    </row>
    <row r="11145" spans="1:38" s="11" customFormat="1" x14ac:dyDescent="0.25">
      <c r="A11145" s="3"/>
      <c r="F11145" s="19"/>
      <c r="G11145" s="19"/>
      <c r="N11145" s="19"/>
      <c r="P11145" s="19"/>
      <c r="AL11145" s="19"/>
    </row>
    <row r="11146" spans="1:38" s="11" customFormat="1" x14ac:dyDescent="0.25">
      <c r="A11146" s="3"/>
      <c r="F11146" s="19"/>
      <c r="G11146" s="19"/>
      <c r="N11146" s="19"/>
      <c r="P11146" s="19"/>
      <c r="AL11146" s="19"/>
    </row>
    <row r="11147" spans="1:38" s="11" customFormat="1" x14ac:dyDescent="0.25">
      <c r="A11147" s="3"/>
      <c r="F11147" s="19"/>
      <c r="G11147" s="19"/>
      <c r="N11147" s="19"/>
      <c r="P11147" s="19"/>
      <c r="AL11147" s="19"/>
    </row>
    <row r="11148" spans="1:38" s="11" customFormat="1" x14ac:dyDescent="0.25">
      <c r="A11148" s="3"/>
      <c r="F11148" s="19"/>
      <c r="G11148" s="19"/>
      <c r="N11148" s="19"/>
      <c r="P11148" s="19"/>
      <c r="AL11148" s="19"/>
    </row>
    <row r="11149" spans="1:38" s="11" customFormat="1" x14ac:dyDescent="0.25">
      <c r="A11149" s="3"/>
      <c r="F11149" s="19"/>
      <c r="G11149" s="19"/>
      <c r="N11149" s="19"/>
      <c r="P11149" s="19"/>
      <c r="AL11149" s="19"/>
    </row>
    <row r="11150" spans="1:38" s="11" customFormat="1" x14ac:dyDescent="0.25">
      <c r="A11150" s="3"/>
      <c r="F11150" s="19"/>
      <c r="G11150" s="19"/>
      <c r="N11150" s="19"/>
      <c r="P11150" s="19"/>
      <c r="AL11150" s="19"/>
    </row>
    <row r="11151" spans="1:38" s="11" customFormat="1" x14ac:dyDescent="0.25">
      <c r="A11151" s="3"/>
      <c r="F11151" s="19"/>
      <c r="G11151" s="19"/>
      <c r="N11151" s="19"/>
      <c r="P11151" s="19"/>
      <c r="AL11151" s="19"/>
    </row>
    <row r="11152" spans="1:38" s="11" customFormat="1" x14ac:dyDescent="0.25">
      <c r="A11152" s="3"/>
      <c r="F11152" s="19"/>
      <c r="G11152" s="19"/>
      <c r="N11152" s="19"/>
      <c r="P11152" s="19"/>
      <c r="AL11152" s="19"/>
    </row>
    <row r="11153" spans="1:38" s="11" customFormat="1" x14ac:dyDescent="0.25">
      <c r="A11153" s="3"/>
      <c r="F11153" s="19"/>
      <c r="G11153" s="19"/>
      <c r="N11153" s="19"/>
      <c r="P11153" s="19"/>
      <c r="AL11153" s="19"/>
    </row>
    <row r="11154" spans="1:38" s="11" customFormat="1" x14ac:dyDescent="0.25">
      <c r="A11154" s="3"/>
      <c r="F11154" s="19"/>
      <c r="G11154" s="19"/>
      <c r="N11154" s="19"/>
      <c r="P11154" s="19"/>
      <c r="AL11154" s="19"/>
    </row>
    <row r="11155" spans="1:38" s="11" customFormat="1" x14ac:dyDescent="0.25">
      <c r="A11155" s="3"/>
      <c r="F11155" s="19"/>
      <c r="G11155" s="19"/>
      <c r="N11155" s="19"/>
      <c r="P11155" s="19"/>
      <c r="AL11155" s="19"/>
    </row>
    <row r="11156" spans="1:38" s="11" customFormat="1" x14ac:dyDescent="0.25">
      <c r="A11156" s="3"/>
      <c r="F11156" s="19"/>
      <c r="G11156" s="19"/>
      <c r="N11156" s="19"/>
      <c r="P11156" s="19"/>
      <c r="AL11156" s="19"/>
    </row>
    <row r="11157" spans="1:38" s="11" customFormat="1" x14ac:dyDescent="0.25">
      <c r="A11157" s="3"/>
      <c r="F11157" s="19"/>
      <c r="G11157" s="19"/>
      <c r="N11157" s="19"/>
      <c r="P11157" s="19"/>
      <c r="AL11157" s="19"/>
    </row>
    <row r="11158" spans="1:38" s="11" customFormat="1" x14ac:dyDescent="0.25">
      <c r="A11158" s="3"/>
      <c r="F11158" s="19"/>
      <c r="G11158" s="19"/>
      <c r="N11158" s="19"/>
      <c r="P11158" s="19"/>
      <c r="AL11158" s="19"/>
    </row>
    <row r="11159" spans="1:38" s="11" customFormat="1" x14ac:dyDescent="0.25">
      <c r="A11159" s="3"/>
      <c r="F11159" s="19"/>
      <c r="G11159" s="19"/>
      <c r="N11159" s="19"/>
      <c r="P11159" s="19"/>
      <c r="AL11159" s="19"/>
    </row>
    <row r="11160" spans="1:38" s="11" customFormat="1" x14ac:dyDescent="0.25">
      <c r="A11160" s="3"/>
      <c r="F11160" s="19"/>
      <c r="G11160" s="19"/>
      <c r="N11160" s="19"/>
      <c r="P11160" s="19"/>
      <c r="AL11160" s="19"/>
    </row>
    <row r="11161" spans="1:38" s="11" customFormat="1" x14ac:dyDescent="0.25">
      <c r="A11161" s="3"/>
      <c r="F11161" s="19"/>
      <c r="G11161" s="19"/>
      <c r="N11161" s="19"/>
      <c r="P11161" s="19"/>
      <c r="AL11161" s="19"/>
    </row>
    <row r="11162" spans="1:38" s="11" customFormat="1" x14ac:dyDescent="0.25">
      <c r="A11162" s="3"/>
      <c r="F11162" s="19"/>
      <c r="G11162" s="19"/>
      <c r="N11162" s="19"/>
      <c r="P11162" s="19"/>
      <c r="AL11162" s="19"/>
    </row>
    <row r="11163" spans="1:38" s="11" customFormat="1" x14ac:dyDescent="0.25">
      <c r="A11163" s="3"/>
      <c r="F11163" s="19"/>
      <c r="G11163" s="19"/>
      <c r="N11163" s="19"/>
      <c r="P11163" s="19"/>
      <c r="AL11163" s="19"/>
    </row>
    <row r="11164" spans="1:38" s="11" customFormat="1" x14ac:dyDescent="0.25">
      <c r="A11164" s="3"/>
      <c r="F11164" s="19"/>
      <c r="G11164" s="19"/>
      <c r="N11164" s="19"/>
      <c r="P11164" s="19"/>
      <c r="AL11164" s="19"/>
    </row>
    <row r="11165" spans="1:38" s="11" customFormat="1" x14ac:dyDescent="0.25">
      <c r="A11165" s="3"/>
      <c r="F11165" s="19"/>
      <c r="G11165" s="19"/>
      <c r="N11165" s="19"/>
      <c r="P11165" s="19"/>
      <c r="AL11165" s="19"/>
    </row>
    <row r="11166" spans="1:38" s="11" customFormat="1" x14ac:dyDescent="0.25">
      <c r="A11166" s="3"/>
      <c r="F11166" s="19"/>
      <c r="G11166" s="19"/>
      <c r="N11166" s="19"/>
      <c r="P11166" s="19"/>
      <c r="AL11166" s="19"/>
    </row>
    <row r="11167" spans="1:38" s="11" customFormat="1" x14ac:dyDescent="0.25">
      <c r="A11167" s="3"/>
      <c r="F11167" s="19"/>
      <c r="G11167" s="19"/>
      <c r="N11167" s="19"/>
      <c r="P11167" s="19"/>
      <c r="AL11167" s="19"/>
    </row>
    <row r="11168" spans="1:38" s="11" customFormat="1" x14ac:dyDescent="0.25">
      <c r="A11168" s="3"/>
      <c r="F11168" s="19"/>
      <c r="G11168" s="19"/>
      <c r="N11168" s="19"/>
      <c r="P11168" s="19"/>
      <c r="AL11168" s="19"/>
    </row>
    <row r="11169" spans="1:38" s="11" customFormat="1" x14ac:dyDescent="0.25">
      <c r="A11169" s="3"/>
      <c r="F11169" s="19"/>
      <c r="G11169" s="19"/>
      <c r="N11169" s="19"/>
      <c r="P11169" s="19"/>
      <c r="AL11169" s="19"/>
    </row>
    <row r="11170" spans="1:38" s="11" customFormat="1" x14ac:dyDescent="0.25">
      <c r="A11170" s="3"/>
      <c r="F11170" s="19"/>
      <c r="G11170" s="19"/>
      <c r="N11170" s="19"/>
      <c r="P11170" s="19"/>
      <c r="AL11170" s="19"/>
    </row>
    <row r="11171" spans="1:38" s="11" customFormat="1" x14ac:dyDescent="0.25">
      <c r="A11171" s="3"/>
      <c r="F11171" s="19"/>
      <c r="G11171" s="19"/>
      <c r="N11171" s="19"/>
      <c r="P11171" s="19"/>
      <c r="AL11171" s="19"/>
    </row>
    <row r="11172" spans="1:38" s="11" customFormat="1" x14ac:dyDescent="0.25">
      <c r="A11172" s="3"/>
      <c r="F11172" s="19"/>
      <c r="G11172" s="19"/>
      <c r="N11172" s="19"/>
      <c r="P11172" s="19"/>
      <c r="AL11172" s="19"/>
    </row>
    <row r="11173" spans="1:38" s="11" customFormat="1" x14ac:dyDescent="0.25">
      <c r="A11173" s="3"/>
      <c r="F11173" s="19"/>
      <c r="G11173" s="19"/>
      <c r="N11173" s="19"/>
      <c r="P11173" s="19"/>
      <c r="AL11173" s="19"/>
    </row>
    <row r="11174" spans="1:38" s="11" customFormat="1" x14ac:dyDescent="0.25">
      <c r="A11174" s="3"/>
      <c r="F11174" s="19"/>
      <c r="G11174" s="19"/>
      <c r="N11174" s="19"/>
      <c r="P11174" s="19"/>
      <c r="AL11174" s="19"/>
    </row>
    <row r="11175" spans="1:38" s="11" customFormat="1" x14ac:dyDescent="0.25">
      <c r="A11175" s="3"/>
      <c r="F11175" s="19"/>
      <c r="G11175" s="19"/>
      <c r="N11175" s="19"/>
      <c r="P11175" s="19"/>
      <c r="AL11175" s="19"/>
    </row>
    <row r="11176" spans="1:38" s="11" customFormat="1" x14ac:dyDescent="0.25">
      <c r="A11176" s="3"/>
      <c r="F11176" s="19"/>
      <c r="G11176" s="19"/>
      <c r="N11176" s="19"/>
      <c r="P11176" s="19"/>
      <c r="AL11176" s="19"/>
    </row>
    <row r="11177" spans="1:38" s="11" customFormat="1" x14ac:dyDescent="0.25">
      <c r="A11177" s="3"/>
      <c r="F11177" s="19"/>
      <c r="G11177" s="19"/>
      <c r="N11177" s="19"/>
      <c r="P11177" s="19"/>
      <c r="AL11177" s="19"/>
    </row>
    <row r="11178" spans="1:38" s="11" customFormat="1" x14ac:dyDescent="0.25">
      <c r="A11178" s="3"/>
      <c r="F11178" s="19"/>
      <c r="G11178" s="19"/>
      <c r="N11178" s="19"/>
      <c r="P11178" s="19"/>
      <c r="AL11178" s="19"/>
    </row>
    <row r="11179" spans="1:38" s="11" customFormat="1" x14ac:dyDescent="0.25">
      <c r="A11179" s="3"/>
      <c r="F11179" s="19"/>
      <c r="G11179" s="19"/>
      <c r="N11179" s="19"/>
      <c r="P11179" s="19"/>
      <c r="AL11179" s="19"/>
    </row>
    <row r="11180" spans="1:38" s="11" customFormat="1" x14ac:dyDescent="0.25">
      <c r="A11180" s="3"/>
      <c r="F11180" s="19"/>
      <c r="G11180" s="19"/>
      <c r="N11180" s="19"/>
      <c r="P11180" s="19"/>
      <c r="AL11180" s="19"/>
    </row>
    <row r="11181" spans="1:38" s="11" customFormat="1" x14ac:dyDescent="0.25">
      <c r="A11181" s="3"/>
      <c r="F11181" s="19"/>
      <c r="G11181" s="19"/>
      <c r="N11181" s="19"/>
      <c r="P11181" s="19"/>
      <c r="AL11181" s="19"/>
    </row>
    <row r="11182" spans="1:38" s="11" customFormat="1" x14ac:dyDescent="0.25">
      <c r="A11182" s="3"/>
      <c r="F11182" s="19"/>
      <c r="G11182" s="19"/>
      <c r="N11182" s="19"/>
      <c r="P11182" s="19"/>
      <c r="AL11182" s="19"/>
    </row>
    <row r="11183" spans="1:38" s="11" customFormat="1" x14ac:dyDescent="0.25">
      <c r="A11183" s="3"/>
      <c r="F11183" s="19"/>
      <c r="G11183" s="19"/>
      <c r="N11183" s="19"/>
      <c r="P11183" s="19"/>
      <c r="AL11183" s="19"/>
    </row>
    <row r="11184" spans="1:38" s="11" customFormat="1" x14ac:dyDescent="0.25">
      <c r="A11184" s="3"/>
      <c r="F11184" s="19"/>
      <c r="G11184" s="19"/>
      <c r="N11184" s="19"/>
      <c r="P11184" s="19"/>
      <c r="AL11184" s="19"/>
    </row>
    <row r="11185" spans="1:38" s="11" customFormat="1" x14ac:dyDescent="0.25">
      <c r="A11185" s="3"/>
      <c r="F11185" s="19"/>
      <c r="G11185" s="19"/>
      <c r="N11185" s="19"/>
      <c r="P11185" s="19"/>
      <c r="AL11185" s="19"/>
    </row>
    <row r="11186" spans="1:38" s="11" customFormat="1" x14ac:dyDescent="0.25">
      <c r="A11186" s="3"/>
      <c r="F11186" s="19"/>
      <c r="G11186" s="19"/>
      <c r="N11186" s="19"/>
      <c r="P11186" s="19"/>
      <c r="AL11186" s="19"/>
    </row>
    <row r="11187" spans="1:38" s="11" customFormat="1" x14ac:dyDescent="0.25">
      <c r="A11187" s="3"/>
      <c r="F11187" s="19"/>
      <c r="G11187" s="19"/>
      <c r="N11187" s="19"/>
      <c r="P11187" s="19"/>
      <c r="AL11187" s="19"/>
    </row>
    <row r="11188" spans="1:38" s="11" customFormat="1" x14ac:dyDescent="0.25">
      <c r="A11188" s="3"/>
      <c r="F11188" s="19"/>
      <c r="G11188" s="19"/>
      <c r="N11188" s="19"/>
      <c r="P11188" s="19"/>
      <c r="AL11188" s="19"/>
    </row>
    <row r="11189" spans="1:38" s="11" customFormat="1" x14ac:dyDescent="0.25">
      <c r="A11189" s="3"/>
      <c r="F11189" s="19"/>
      <c r="G11189" s="19"/>
      <c r="N11189" s="19"/>
      <c r="P11189" s="19"/>
      <c r="AL11189" s="19"/>
    </row>
    <row r="11190" spans="1:38" s="11" customFormat="1" x14ac:dyDescent="0.25">
      <c r="A11190" s="3"/>
      <c r="F11190" s="19"/>
      <c r="G11190" s="19"/>
      <c r="N11190" s="19"/>
      <c r="P11190" s="19"/>
      <c r="AL11190" s="19"/>
    </row>
    <row r="11191" spans="1:38" s="11" customFormat="1" x14ac:dyDescent="0.25">
      <c r="A11191" s="3"/>
      <c r="F11191" s="19"/>
      <c r="G11191" s="19"/>
      <c r="N11191" s="19"/>
      <c r="P11191" s="19"/>
      <c r="AL11191" s="19"/>
    </row>
    <row r="11192" spans="1:38" s="11" customFormat="1" x14ac:dyDescent="0.25">
      <c r="A11192" s="3"/>
      <c r="F11192" s="19"/>
      <c r="G11192" s="19"/>
      <c r="N11192" s="19"/>
      <c r="P11192" s="19"/>
      <c r="AL11192" s="19"/>
    </row>
    <row r="11193" spans="1:38" s="11" customFormat="1" x14ac:dyDescent="0.25">
      <c r="A11193" s="3"/>
      <c r="F11193" s="19"/>
      <c r="G11193" s="19"/>
      <c r="N11193" s="19"/>
      <c r="P11193" s="19"/>
      <c r="AL11193" s="19"/>
    </row>
    <row r="11194" spans="1:38" s="11" customFormat="1" x14ac:dyDescent="0.25">
      <c r="A11194" s="3"/>
      <c r="F11194" s="19"/>
      <c r="G11194" s="19"/>
      <c r="N11194" s="19"/>
      <c r="P11194" s="19"/>
      <c r="AL11194" s="19"/>
    </row>
    <row r="11195" spans="1:38" s="11" customFormat="1" x14ac:dyDescent="0.25">
      <c r="A11195" s="3"/>
      <c r="F11195" s="19"/>
      <c r="G11195" s="19"/>
      <c r="N11195" s="19"/>
      <c r="P11195" s="19"/>
      <c r="AL11195" s="19"/>
    </row>
    <row r="11196" spans="1:38" s="11" customFormat="1" x14ac:dyDescent="0.25">
      <c r="A11196" s="3"/>
      <c r="F11196" s="19"/>
      <c r="G11196" s="19"/>
      <c r="N11196" s="19"/>
      <c r="P11196" s="19"/>
      <c r="AL11196" s="19"/>
    </row>
    <row r="11197" spans="1:38" s="11" customFormat="1" x14ac:dyDescent="0.25">
      <c r="A11197" s="3"/>
      <c r="F11197" s="19"/>
      <c r="G11197" s="19"/>
      <c r="N11197" s="19"/>
      <c r="P11197" s="19"/>
      <c r="AL11197" s="19"/>
    </row>
    <row r="11198" spans="1:38" s="11" customFormat="1" x14ac:dyDescent="0.25">
      <c r="A11198" s="3"/>
      <c r="F11198" s="19"/>
      <c r="G11198" s="19"/>
      <c r="N11198" s="19"/>
      <c r="P11198" s="19"/>
      <c r="AL11198" s="19"/>
    </row>
    <row r="11199" spans="1:38" s="11" customFormat="1" x14ac:dyDescent="0.25">
      <c r="A11199" s="3"/>
      <c r="F11199" s="19"/>
      <c r="G11199" s="19"/>
      <c r="N11199" s="19"/>
      <c r="P11199" s="19"/>
      <c r="AL11199" s="19"/>
    </row>
    <row r="11200" spans="1:38" s="11" customFormat="1" x14ac:dyDescent="0.25">
      <c r="A11200" s="3"/>
      <c r="F11200" s="19"/>
      <c r="G11200" s="19"/>
      <c r="N11200" s="19"/>
      <c r="P11200" s="19"/>
      <c r="AL11200" s="19"/>
    </row>
    <row r="11201" spans="1:38" s="11" customFormat="1" x14ac:dyDescent="0.25">
      <c r="A11201" s="3"/>
      <c r="F11201" s="19"/>
      <c r="G11201" s="19"/>
      <c r="N11201" s="19"/>
      <c r="P11201" s="19"/>
      <c r="AL11201" s="19"/>
    </row>
    <row r="11202" spans="1:38" s="11" customFormat="1" x14ac:dyDescent="0.25">
      <c r="A11202" s="3"/>
      <c r="F11202" s="19"/>
      <c r="G11202" s="19"/>
      <c r="N11202" s="19"/>
      <c r="P11202" s="19"/>
      <c r="AL11202" s="19"/>
    </row>
    <row r="11203" spans="1:38" s="11" customFormat="1" x14ac:dyDescent="0.25">
      <c r="A11203" s="3"/>
      <c r="F11203" s="19"/>
      <c r="G11203" s="19"/>
      <c r="N11203" s="19"/>
      <c r="P11203" s="19"/>
      <c r="AL11203" s="19"/>
    </row>
    <row r="11204" spans="1:38" s="11" customFormat="1" x14ac:dyDescent="0.25">
      <c r="A11204" s="3"/>
      <c r="F11204" s="19"/>
      <c r="G11204" s="19"/>
      <c r="N11204" s="19"/>
      <c r="P11204" s="19"/>
      <c r="AL11204" s="19"/>
    </row>
    <row r="11205" spans="1:38" s="11" customFormat="1" x14ac:dyDescent="0.25">
      <c r="A11205" s="3"/>
      <c r="F11205" s="19"/>
      <c r="G11205" s="19"/>
      <c r="N11205" s="19"/>
      <c r="P11205" s="19"/>
      <c r="AL11205" s="19"/>
    </row>
    <row r="11206" spans="1:38" s="11" customFormat="1" x14ac:dyDescent="0.25">
      <c r="A11206" s="3"/>
      <c r="F11206" s="19"/>
      <c r="G11206" s="19"/>
      <c r="N11206" s="19"/>
      <c r="P11206" s="19"/>
      <c r="AL11206" s="19"/>
    </row>
    <row r="11207" spans="1:38" s="11" customFormat="1" x14ac:dyDescent="0.25">
      <c r="A11207" s="3"/>
      <c r="F11207" s="19"/>
      <c r="G11207" s="19"/>
      <c r="N11207" s="19"/>
      <c r="P11207" s="19"/>
      <c r="AL11207" s="19"/>
    </row>
    <row r="11208" spans="1:38" s="11" customFormat="1" x14ac:dyDescent="0.25">
      <c r="A11208" s="3"/>
      <c r="F11208" s="19"/>
      <c r="G11208" s="19"/>
      <c r="N11208" s="19"/>
      <c r="P11208" s="19"/>
      <c r="AL11208" s="19"/>
    </row>
    <row r="11209" spans="1:38" s="11" customFormat="1" x14ac:dyDescent="0.25">
      <c r="A11209" s="3"/>
      <c r="F11209" s="19"/>
      <c r="G11209" s="19"/>
      <c r="N11209" s="19"/>
      <c r="P11209" s="19"/>
      <c r="AL11209" s="19"/>
    </row>
    <row r="11210" spans="1:38" s="11" customFormat="1" x14ac:dyDescent="0.25">
      <c r="A11210" s="3"/>
      <c r="F11210" s="19"/>
      <c r="G11210" s="19"/>
      <c r="N11210" s="19"/>
      <c r="P11210" s="19"/>
      <c r="AL11210" s="19"/>
    </row>
    <row r="11211" spans="1:38" s="11" customFormat="1" x14ac:dyDescent="0.25">
      <c r="A11211" s="3"/>
      <c r="F11211" s="19"/>
      <c r="G11211" s="19"/>
      <c r="N11211" s="19"/>
      <c r="P11211" s="19"/>
      <c r="AL11211" s="19"/>
    </row>
    <row r="11212" spans="1:38" s="11" customFormat="1" x14ac:dyDescent="0.25">
      <c r="A11212" s="3"/>
      <c r="F11212" s="19"/>
      <c r="G11212" s="19"/>
      <c r="N11212" s="19"/>
      <c r="P11212" s="19"/>
      <c r="AL11212" s="19"/>
    </row>
    <row r="11213" spans="1:38" s="11" customFormat="1" x14ac:dyDescent="0.25">
      <c r="A11213" s="3"/>
      <c r="F11213" s="19"/>
      <c r="G11213" s="19"/>
      <c r="N11213" s="19"/>
      <c r="P11213" s="19"/>
      <c r="AL11213" s="19"/>
    </row>
    <row r="11214" spans="1:38" s="11" customFormat="1" x14ac:dyDescent="0.25">
      <c r="A11214" s="3"/>
      <c r="F11214" s="19"/>
      <c r="G11214" s="19"/>
      <c r="N11214" s="19"/>
      <c r="P11214" s="19"/>
      <c r="AL11214" s="19"/>
    </row>
    <row r="11215" spans="1:38" s="11" customFormat="1" x14ac:dyDescent="0.25">
      <c r="A11215" s="3"/>
      <c r="F11215" s="19"/>
      <c r="G11215" s="19"/>
      <c r="N11215" s="19"/>
      <c r="P11215" s="19"/>
      <c r="AL11215" s="19"/>
    </row>
    <row r="11216" spans="1:38" s="11" customFormat="1" x14ac:dyDescent="0.25">
      <c r="A11216" s="3"/>
      <c r="F11216" s="19"/>
      <c r="G11216" s="19"/>
      <c r="N11216" s="19"/>
      <c r="P11216" s="19"/>
      <c r="AL11216" s="19"/>
    </row>
    <row r="11217" spans="1:38" s="11" customFormat="1" x14ac:dyDescent="0.25">
      <c r="A11217" s="3"/>
      <c r="F11217" s="19"/>
      <c r="G11217" s="19"/>
      <c r="N11217" s="19"/>
      <c r="P11217" s="19"/>
      <c r="AL11217" s="19"/>
    </row>
    <row r="11218" spans="1:38" s="11" customFormat="1" x14ac:dyDescent="0.25">
      <c r="A11218" s="3"/>
      <c r="F11218" s="19"/>
      <c r="G11218" s="19"/>
      <c r="N11218" s="19"/>
      <c r="P11218" s="19"/>
      <c r="AL11218" s="19"/>
    </row>
    <row r="11219" spans="1:38" s="11" customFormat="1" x14ac:dyDescent="0.25">
      <c r="A11219" s="3"/>
      <c r="F11219" s="19"/>
      <c r="G11219" s="19"/>
      <c r="N11219" s="19"/>
      <c r="P11219" s="19"/>
      <c r="AL11219" s="19"/>
    </row>
    <row r="11220" spans="1:38" s="11" customFormat="1" x14ac:dyDescent="0.25">
      <c r="A11220" s="3"/>
      <c r="F11220" s="19"/>
      <c r="G11220" s="19"/>
      <c r="N11220" s="19"/>
      <c r="P11220" s="19"/>
      <c r="AL11220" s="19"/>
    </row>
    <row r="11221" spans="1:38" s="11" customFormat="1" x14ac:dyDescent="0.25">
      <c r="A11221" s="3"/>
      <c r="F11221" s="19"/>
      <c r="G11221" s="19"/>
      <c r="N11221" s="19"/>
      <c r="P11221" s="19"/>
      <c r="AL11221" s="19"/>
    </row>
    <row r="11222" spans="1:38" s="11" customFormat="1" x14ac:dyDescent="0.25">
      <c r="A11222" s="3"/>
      <c r="F11222" s="19"/>
      <c r="G11222" s="19"/>
      <c r="N11222" s="19"/>
      <c r="P11222" s="19"/>
      <c r="AL11222" s="19"/>
    </row>
    <row r="11223" spans="1:38" s="11" customFormat="1" x14ac:dyDescent="0.25">
      <c r="A11223" s="3"/>
      <c r="F11223" s="19"/>
      <c r="G11223" s="19"/>
      <c r="N11223" s="19"/>
      <c r="P11223" s="19"/>
      <c r="AL11223" s="19"/>
    </row>
    <row r="11224" spans="1:38" s="11" customFormat="1" x14ac:dyDescent="0.25">
      <c r="A11224" s="3"/>
      <c r="F11224" s="19"/>
      <c r="G11224" s="19"/>
      <c r="N11224" s="19"/>
      <c r="P11224" s="19"/>
      <c r="AL11224" s="19"/>
    </row>
    <row r="11225" spans="1:38" s="11" customFormat="1" x14ac:dyDescent="0.25">
      <c r="A11225" s="3"/>
      <c r="F11225" s="19"/>
      <c r="G11225" s="19"/>
      <c r="N11225" s="19"/>
      <c r="P11225" s="19"/>
      <c r="AL11225" s="19"/>
    </row>
    <row r="11226" spans="1:38" s="11" customFormat="1" x14ac:dyDescent="0.25">
      <c r="A11226" s="3"/>
      <c r="F11226" s="19"/>
      <c r="G11226" s="19"/>
      <c r="N11226" s="19"/>
      <c r="P11226" s="19"/>
      <c r="AL11226" s="19"/>
    </row>
    <row r="11227" spans="1:38" s="11" customFormat="1" x14ac:dyDescent="0.25">
      <c r="A11227" s="3"/>
      <c r="F11227" s="19"/>
      <c r="G11227" s="19"/>
      <c r="N11227" s="19"/>
      <c r="P11227" s="19"/>
      <c r="AL11227" s="19"/>
    </row>
    <row r="11228" spans="1:38" s="11" customFormat="1" x14ac:dyDescent="0.25">
      <c r="A11228" s="3"/>
      <c r="F11228" s="19"/>
      <c r="G11228" s="19"/>
      <c r="N11228" s="19"/>
      <c r="P11228" s="19"/>
      <c r="AL11228" s="19"/>
    </row>
    <row r="11229" spans="1:38" s="11" customFormat="1" x14ac:dyDescent="0.25">
      <c r="A11229" s="3"/>
      <c r="F11229" s="19"/>
      <c r="G11229" s="19"/>
      <c r="N11229" s="19"/>
      <c r="P11229" s="19"/>
      <c r="AL11229" s="19"/>
    </row>
    <row r="11230" spans="1:38" s="11" customFormat="1" x14ac:dyDescent="0.25">
      <c r="A11230" s="3"/>
      <c r="F11230" s="19"/>
      <c r="G11230" s="19"/>
      <c r="N11230" s="19"/>
      <c r="P11230" s="19"/>
      <c r="AL11230" s="19"/>
    </row>
    <row r="11231" spans="1:38" s="11" customFormat="1" x14ac:dyDescent="0.25">
      <c r="A11231" s="3"/>
      <c r="F11231" s="19"/>
      <c r="G11231" s="19"/>
      <c r="N11231" s="19"/>
      <c r="P11231" s="19"/>
      <c r="AL11231" s="19"/>
    </row>
    <row r="11232" spans="1:38" s="11" customFormat="1" x14ac:dyDescent="0.25">
      <c r="A11232" s="3"/>
      <c r="F11232" s="19"/>
      <c r="G11232" s="19"/>
      <c r="N11232" s="19"/>
      <c r="P11232" s="19"/>
      <c r="AL11232" s="19"/>
    </row>
    <row r="11233" spans="1:38" s="11" customFormat="1" x14ac:dyDescent="0.25">
      <c r="A11233" s="3"/>
      <c r="F11233" s="19"/>
      <c r="G11233" s="19"/>
      <c r="N11233" s="19"/>
      <c r="P11233" s="19"/>
      <c r="AL11233" s="19"/>
    </row>
    <row r="11234" spans="1:38" s="11" customFormat="1" x14ac:dyDescent="0.25">
      <c r="A11234" s="3"/>
      <c r="F11234" s="19"/>
      <c r="G11234" s="19"/>
      <c r="N11234" s="19"/>
      <c r="P11234" s="19"/>
      <c r="AL11234" s="19"/>
    </row>
    <row r="11235" spans="1:38" s="11" customFormat="1" x14ac:dyDescent="0.25">
      <c r="A11235" s="3"/>
      <c r="F11235" s="19"/>
      <c r="G11235" s="19"/>
      <c r="N11235" s="19"/>
      <c r="P11235" s="19"/>
      <c r="AL11235" s="19"/>
    </row>
    <row r="11236" spans="1:38" s="11" customFormat="1" x14ac:dyDescent="0.25">
      <c r="A11236" s="3"/>
      <c r="F11236" s="19"/>
      <c r="G11236" s="19"/>
      <c r="N11236" s="19"/>
      <c r="P11236" s="19"/>
      <c r="AL11236" s="19"/>
    </row>
    <row r="11237" spans="1:38" s="11" customFormat="1" x14ac:dyDescent="0.25">
      <c r="A11237" s="3"/>
      <c r="F11237" s="19"/>
      <c r="G11237" s="19"/>
      <c r="N11237" s="19"/>
      <c r="P11237" s="19"/>
      <c r="AL11237" s="19"/>
    </row>
    <row r="11238" spans="1:38" s="11" customFormat="1" x14ac:dyDescent="0.25">
      <c r="A11238" s="3"/>
      <c r="F11238" s="19"/>
      <c r="G11238" s="19"/>
      <c r="N11238" s="19"/>
      <c r="P11238" s="19"/>
      <c r="AL11238" s="19"/>
    </row>
    <row r="11239" spans="1:38" s="11" customFormat="1" x14ac:dyDescent="0.25">
      <c r="A11239" s="3"/>
      <c r="F11239" s="19"/>
      <c r="G11239" s="19"/>
      <c r="N11239" s="19"/>
      <c r="P11239" s="19"/>
      <c r="AL11239" s="19"/>
    </row>
    <row r="11240" spans="1:38" s="11" customFormat="1" x14ac:dyDescent="0.25">
      <c r="A11240" s="3"/>
      <c r="F11240" s="19"/>
      <c r="G11240" s="19"/>
      <c r="N11240" s="19"/>
      <c r="P11240" s="19"/>
      <c r="AL11240" s="19"/>
    </row>
    <row r="11241" spans="1:38" s="11" customFormat="1" x14ac:dyDescent="0.25">
      <c r="A11241" s="3"/>
      <c r="F11241" s="19"/>
      <c r="G11241" s="19"/>
      <c r="N11241" s="19"/>
      <c r="P11241" s="19"/>
      <c r="AL11241" s="19"/>
    </row>
    <row r="11242" spans="1:38" s="11" customFormat="1" x14ac:dyDescent="0.25">
      <c r="A11242" s="3"/>
      <c r="F11242" s="19"/>
      <c r="G11242" s="19"/>
      <c r="N11242" s="19"/>
      <c r="P11242" s="19"/>
      <c r="AL11242" s="19"/>
    </row>
    <row r="11243" spans="1:38" s="11" customFormat="1" x14ac:dyDescent="0.25">
      <c r="A11243" s="3"/>
      <c r="F11243" s="19"/>
      <c r="G11243" s="19"/>
      <c r="N11243" s="19"/>
      <c r="P11243" s="19"/>
      <c r="AL11243" s="19"/>
    </row>
    <row r="11244" spans="1:38" s="11" customFormat="1" x14ac:dyDescent="0.25">
      <c r="A11244" s="3"/>
      <c r="F11244" s="19"/>
      <c r="G11244" s="19"/>
      <c r="N11244" s="19"/>
      <c r="P11244" s="19"/>
      <c r="AL11244" s="19"/>
    </row>
    <row r="11245" spans="1:38" s="11" customFormat="1" x14ac:dyDescent="0.25">
      <c r="A11245" s="3"/>
      <c r="F11245" s="19"/>
      <c r="G11245" s="19"/>
      <c r="N11245" s="19"/>
      <c r="P11245" s="19"/>
      <c r="AL11245" s="19"/>
    </row>
    <row r="11246" spans="1:38" s="11" customFormat="1" x14ac:dyDescent="0.25">
      <c r="A11246" s="3"/>
      <c r="F11246" s="19"/>
      <c r="G11246" s="19"/>
      <c r="N11246" s="19"/>
      <c r="P11246" s="19"/>
      <c r="AL11246" s="19"/>
    </row>
    <row r="11247" spans="1:38" s="11" customFormat="1" x14ac:dyDescent="0.25">
      <c r="A11247" s="3"/>
      <c r="F11247" s="19"/>
      <c r="G11247" s="19"/>
      <c r="N11247" s="19"/>
      <c r="P11247" s="19"/>
      <c r="AL11247" s="19"/>
    </row>
    <row r="11248" spans="1:38" s="11" customFormat="1" x14ac:dyDescent="0.25">
      <c r="A11248" s="3"/>
      <c r="F11248" s="19"/>
      <c r="G11248" s="19"/>
      <c r="N11248" s="19"/>
      <c r="P11248" s="19"/>
      <c r="AL11248" s="19"/>
    </row>
    <row r="11249" spans="1:38" s="11" customFormat="1" x14ac:dyDescent="0.25">
      <c r="A11249" s="3"/>
      <c r="F11249" s="19"/>
      <c r="G11249" s="19"/>
      <c r="N11249" s="19"/>
      <c r="P11249" s="19"/>
      <c r="AL11249" s="19"/>
    </row>
    <row r="11250" spans="1:38" s="11" customFormat="1" x14ac:dyDescent="0.25">
      <c r="A11250" s="3"/>
      <c r="F11250" s="19"/>
      <c r="G11250" s="19"/>
      <c r="N11250" s="19"/>
      <c r="P11250" s="19"/>
      <c r="AL11250" s="19"/>
    </row>
    <row r="11251" spans="1:38" s="11" customFormat="1" x14ac:dyDescent="0.25">
      <c r="A11251" s="3"/>
      <c r="F11251" s="19"/>
      <c r="G11251" s="19"/>
      <c r="N11251" s="19"/>
      <c r="P11251" s="19"/>
      <c r="AL11251" s="19"/>
    </row>
    <row r="11252" spans="1:38" s="11" customFormat="1" x14ac:dyDescent="0.25">
      <c r="A11252" s="3"/>
      <c r="F11252" s="19"/>
      <c r="G11252" s="19"/>
      <c r="N11252" s="19"/>
      <c r="P11252" s="19"/>
      <c r="AL11252" s="19"/>
    </row>
    <row r="11253" spans="1:38" s="11" customFormat="1" x14ac:dyDescent="0.25">
      <c r="A11253" s="3"/>
      <c r="F11253" s="19"/>
      <c r="G11253" s="19"/>
      <c r="N11253" s="19"/>
      <c r="P11253" s="19"/>
      <c r="AL11253" s="19"/>
    </row>
    <row r="11254" spans="1:38" s="11" customFormat="1" x14ac:dyDescent="0.25">
      <c r="A11254" s="3"/>
      <c r="F11254" s="19"/>
      <c r="G11254" s="19"/>
      <c r="N11254" s="19"/>
      <c r="P11254" s="19"/>
      <c r="AL11254" s="19"/>
    </row>
    <row r="11255" spans="1:38" s="11" customFormat="1" x14ac:dyDescent="0.25">
      <c r="A11255" s="3"/>
      <c r="F11255" s="19"/>
      <c r="G11255" s="19"/>
      <c r="N11255" s="19"/>
      <c r="P11255" s="19"/>
      <c r="AL11255" s="19"/>
    </row>
    <row r="11256" spans="1:38" s="11" customFormat="1" x14ac:dyDescent="0.25">
      <c r="A11256" s="3"/>
      <c r="F11256" s="19"/>
      <c r="G11256" s="19"/>
      <c r="N11256" s="19"/>
      <c r="P11256" s="19"/>
      <c r="AL11256" s="19"/>
    </row>
    <row r="11257" spans="1:38" s="11" customFormat="1" x14ac:dyDescent="0.25">
      <c r="A11257" s="3"/>
      <c r="F11257" s="19"/>
      <c r="G11257" s="19"/>
      <c r="N11257" s="19"/>
      <c r="P11257" s="19"/>
      <c r="AL11257" s="19"/>
    </row>
    <row r="11258" spans="1:38" s="11" customFormat="1" x14ac:dyDescent="0.25">
      <c r="A11258" s="3"/>
      <c r="F11258" s="19"/>
      <c r="G11258" s="19"/>
      <c r="N11258" s="19"/>
      <c r="P11258" s="19"/>
      <c r="AL11258" s="19"/>
    </row>
    <row r="11259" spans="1:38" s="11" customFormat="1" x14ac:dyDescent="0.25">
      <c r="A11259" s="3"/>
      <c r="F11259" s="19"/>
      <c r="G11259" s="19"/>
      <c r="N11259" s="19"/>
      <c r="P11259" s="19"/>
      <c r="AL11259" s="19"/>
    </row>
    <row r="11260" spans="1:38" s="11" customFormat="1" x14ac:dyDescent="0.25">
      <c r="A11260" s="3"/>
      <c r="F11260" s="19"/>
      <c r="G11260" s="19"/>
      <c r="N11260" s="19"/>
      <c r="P11260" s="19"/>
      <c r="AL11260" s="19"/>
    </row>
    <row r="11261" spans="1:38" s="11" customFormat="1" x14ac:dyDescent="0.25">
      <c r="A11261" s="3"/>
      <c r="F11261" s="19"/>
      <c r="G11261" s="19"/>
      <c r="N11261" s="19"/>
      <c r="P11261" s="19"/>
      <c r="AL11261" s="19"/>
    </row>
    <row r="11262" spans="1:38" s="11" customFormat="1" x14ac:dyDescent="0.25">
      <c r="A11262" s="3"/>
      <c r="F11262" s="19"/>
      <c r="G11262" s="19"/>
      <c r="N11262" s="19"/>
      <c r="P11262" s="19"/>
      <c r="AL11262" s="19"/>
    </row>
    <row r="11263" spans="1:38" s="11" customFormat="1" x14ac:dyDescent="0.25">
      <c r="A11263" s="3"/>
      <c r="F11263" s="19"/>
      <c r="G11263" s="19"/>
      <c r="N11263" s="19"/>
      <c r="P11263" s="19"/>
      <c r="AL11263" s="19"/>
    </row>
    <row r="11264" spans="1:38" s="11" customFormat="1" x14ac:dyDescent="0.25">
      <c r="A11264" s="3"/>
      <c r="F11264" s="19"/>
      <c r="G11264" s="19"/>
      <c r="N11264" s="19"/>
      <c r="P11264" s="19"/>
      <c r="AL11264" s="19"/>
    </row>
    <row r="11265" spans="1:38" s="11" customFormat="1" x14ac:dyDescent="0.25">
      <c r="A11265" s="3"/>
      <c r="F11265" s="19"/>
      <c r="G11265" s="19"/>
      <c r="N11265" s="19"/>
      <c r="P11265" s="19"/>
      <c r="AL11265" s="19"/>
    </row>
    <row r="11266" spans="1:38" s="11" customFormat="1" x14ac:dyDescent="0.25">
      <c r="A11266" s="3"/>
      <c r="F11266" s="19"/>
      <c r="G11266" s="19"/>
      <c r="N11266" s="19"/>
      <c r="P11266" s="19"/>
      <c r="AL11266" s="19"/>
    </row>
    <row r="11267" spans="1:38" s="11" customFormat="1" x14ac:dyDescent="0.25">
      <c r="A11267" s="3"/>
      <c r="F11267" s="19"/>
      <c r="G11267" s="19"/>
      <c r="N11267" s="19"/>
      <c r="P11267" s="19"/>
      <c r="AL11267" s="19"/>
    </row>
    <row r="11268" spans="1:38" s="11" customFormat="1" x14ac:dyDescent="0.25">
      <c r="A11268" s="3"/>
      <c r="F11268" s="19"/>
      <c r="G11268" s="19"/>
      <c r="N11268" s="19"/>
      <c r="P11268" s="19"/>
      <c r="AL11268" s="19"/>
    </row>
    <row r="11269" spans="1:38" s="11" customFormat="1" x14ac:dyDescent="0.25">
      <c r="A11269" s="3"/>
      <c r="F11269" s="19"/>
      <c r="G11269" s="19"/>
      <c r="N11269" s="19"/>
      <c r="P11269" s="19"/>
      <c r="AL11269" s="19"/>
    </row>
    <row r="11270" spans="1:38" s="11" customFormat="1" x14ac:dyDescent="0.25">
      <c r="A11270" s="3"/>
      <c r="F11270" s="19"/>
      <c r="G11270" s="19"/>
      <c r="N11270" s="19"/>
      <c r="P11270" s="19"/>
      <c r="AL11270" s="19"/>
    </row>
    <row r="11271" spans="1:38" s="11" customFormat="1" x14ac:dyDescent="0.25">
      <c r="A11271" s="3"/>
      <c r="F11271" s="19"/>
      <c r="G11271" s="19"/>
      <c r="N11271" s="19"/>
      <c r="P11271" s="19"/>
      <c r="AL11271" s="19"/>
    </row>
    <row r="11272" spans="1:38" s="11" customFormat="1" x14ac:dyDescent="0.25">
      <c r="A11272" s="3"/>
      <c r="F11272" s="19"/>
      <c r="G11272" s="19"/>
      <c r="N11272" s="19"/>
      <c r="P11272" s="19"/>
      <c r="AL11272" s="19"/>
    </row>
    <row r="11273" spans="1:38" s="11" customFormat="1" x14ac:dyDescent="0.25">
      <c r="A11273" s="3"/>
      <c r="F11273" s="19"/>
      <c r="G11273" s="19"/>
      <c r="N11273" s="19"/>
      <c r="P11273" s="19"/>
      <c r="AL11273" s="19"/>
    </row>
    <row r="11274" spans="1:38" s="11" customFormat="1" x14ac:dyDescent="0.25">
      <c r="A11274" s="3"/>
      <c r="F11274" s="19"/>
      <c r="G11274" s="19"/>
      <c r="N11274" s="19"/>
      <c r="P11274" s="19"/>
      <c r="AL11274" s="19"/>
    </row>
    <row r="11275" spans="1:38" s="11" customFormat="1" x14ac:dyDescent="0.25">
      <c r="A11275" s="3"/>
      <c r="F11275" s="19"/>
      <c r="G11275" s="19"/>
      <c r="N11275" s="19"/>
      <c r="P11275" s="19"/>
      <c r="AL11275" s="19"/>
    </row>
    <row r="11276" spans="1:38" s="11" customFormat="1" x14ac:dyDescent="0.25">
      <c r="A11276" s="3"/>
      <c r="F11276" s="19"/>
      <c r="G11276" s="19"/>
      <c r="N11276" s="19"/>
      <c r="P11276" s="19"/>
      <c r="AL11276" s="19"/>
    </row>
    <row r="11277" spans="1:38" s="11" customFormat="1" x14ac:dyDescent="0.25">
      <c r="A11277" s="3"/>
      <c r="F11277" s="19"/>
      <c r="G11277" s="19"/>
      <c r="N11277" s="19"/>
      <c r="P11277" s="19"/>
      <c r="AL11277" s="19"/>
    </row>
    <row r="11278" spans="1:38" s="11" customFormat="1" x14ac:dyDescent="0.25">
      <c r="A11278" s="3"/>
      <c r="F11278" s="19"/>
      <c r="G11278" s="19"/>
      <c r="N11278" s="19"/>
      <c r="P11278" s="19"/>
      <c r="AL11278" s="19"/>
    </row>
    <row r="11279" spans="1:38" s="11" customFormat="1" x14ac:dyDescent="0.25">
      <c r="A11279" s="3"/>
      <c r="F11279" s="19"/>
      <c r="G11279" s="19"/>
      <c r="N11279" s="19"/>
      <c r="P11279" s="19"/>
      <c r="AL11279" s="19"/>
    </row>
    <row r="11280" spans="1:38" s="11" customFormat="1" x14ac:dyDescent="0.25">
      <c r="A11280" s="3"/>
      <c r="F11280" s="19"/>
      <c r="G11280" s="19"/>
      <c r="N11280" s="19"/>
      <c r="P11280" s="19"/>
      <c r="AL11280" s="19"/>
    </row>
    <row r="11281" spans="1:38" s="11" customFormat="1" x14ac:dyDescent="0.25">
      <c r="A11281" s="3"/>
      <c r="F11281" s="19"/>
      <c r="G11281" s="19"/>
      <c r="N11281" s="19"/>
      <c r="P11281" s="19"/>
      <c r="AL11281" s="19"/>
    </row>
    <row r="11282" spans="1:38" s="11" customFormat="1" x14ac:dyDescent="0.25">
      <c r="A11282" s="3"/>
      <c r="F11282" s="19"/>
      <c r="G11282" s="19"/>
      <c r="N11282" s="19"/>
      <c r="P11282" s="19"/>
      <c r="AL11282" s="19"/>
    </row>
    <row r="11283" spans="1:38" s="11" customFormat="1" x14ac:dyDescent="0.25">
      <c r="A11283" s="3"/>
      <c r="F11283" s="19"/>
      <c r="G11283" s="19"/>
      <c r="N11283" s="19"/>
      <c r="P11283" s="19"/>
      <c r="AL11283" s="19"/>
    </row>
    <row r="11284" spans="1:38" s="11" customFormat="1" x14ac:dyDescent="0.25">
      <c r="A11284" s="3"/>
      <c r="F11284" s="19"/>
      <c r="G11284" s="19"/>
      <c r="N11284" s="19"/>
      <c r="P11284" s="19"/>
      <c r="AL11284" s="19"/>
    </row>
    <row r="11285" spans="1:38" s="11" customFormat="1" x14ac:dyDescent="0.25">
      <c r="A11285" s="3"/>
      <c r="F11285" s="19"/>
      <c r="G11285" s="19"/>
      <c r="N11285" s="19"/>
      <c r="P11285" s="19"/>
      <c r="AL11285" s="19"/>
    </row>
    <row r="11286" spans="1:38" s="11" customFormat="1" x14ac:dyDescent="0.25">
      <c r="A11286" s="3"/>
      <c r="F11286" s="19"/>
      <c r="G11286" s="19"/>
      <c r="N11286" s="19"/>
      <c r="P11286" s="19"/>
      <c r="AL11286" s="19"/>
    </row>
    <row r="11287" spans="1:38" s="11" customFormat="1" x14ac:dyDescent="0.25">
      <c r="A11287" s="3"/>
      <c r="F11287" s="19"/>
      <c r="G11287" s="19"/>
      <c r="N11287" s="19"/>
      <c r="P11287" s="19"/>
      <c r="AL11287" s="19"/>
    </row>
    <row r="11288" spans="1:38" s="11" customFormat="1" x14ac:dyDescent="0.25">
      <c r="A11288" s="3"/>
      <c r="F11288" s="19"/>
      <c r="G11288" s="19"/>
      <c r="N11288" s="19"/>
      <c r="P11288" s="19"/>
      <c r="AL11288" s="19"/>
    </row>
    <row r="11289" spans="1:38" s="11" customFormat="1" x14ac:dyDescent="0.25">
      <c r="A11289" s="3"/>
      <c r="F11289" s="19"/>
      <c r="G11289" s="19"/>
      <c r="N11289" s="19"/>
      <c r="P11289" s="19"/>
      <c r="AL11289" s="19"/>
    </row>
    <row r="11290" spans="1:38" s="11" customFormat="1" x14ac:dyDescent="0.25">
      <c r="A11290" s="3"/>
      <c r="F11290" s="19"/>
      <c r="G11290" s="19"/>
      <c r="N11290" s="19"/>
      <c r="P11290" s="19"/>
      <c r="AL11290" s="19"/>
    </row>
    <row r="11291" spans="1:38" s="11" customFormat="1" x14ac:dyDescent="0.25">
      <c r="A11291" s="3"/>
      <c r="F11291" s="19"/>
      <c r="G11291" s="19"/>
      <c r="N11291" s="19"/>
      <c r="P11291" s="19"/>
      <c r="AL11291" s="19"/>
    </row>
    <row r="11292" spans="1:38" s="11" customFormat="1" x14ac:dyDescent="0.25">
      <c r="A11292" s="3"/>
      <c r="F11292" s="19"/>
      <c r="G11292" s="19"/>
      <c r="N11292" s="19"/>
      <c r="P11292" s="19"/>
      <c r="AL11292" s="19"/>
    </row>
    <row r="11293" spans="1:38" s="11" customFormat="1" x14ac:dyDescent="0.25">
      <c r="A11293" s="3"/>
      <c r="F11293" s="19"/>
      <c r="G11293" s="19"/>
      <c r="N11293" s="19"/>
      <c r="P11293" s="19"/>
      <c r="AL11293" s="19"/>
    </row>
    <row r="11294" spans="1:38" s="11" customFormat="1" x14ac:dyDescent="0.25">
      <c r="A11294" s="3"/>
      <c r="F11294" s="19"/>
      <c r="G11294" s="19"/>
      <c r="N11294" s="19"/>
      <c r="P11294" s="19"/>
      <c r="AL11294" s="19"/>
    </row>
    <row r="11295" spans="1:38" s="11" customFormat="1" x14ac:dyDescent="0.25">
      <c r="A11295" s="3"/>
      <c r="F11295" s="19"/>
      <c r="G11295" s="19"/>
      <c r="N11295" s="19"/>
      <c r="P11295" s="19"/>
      <c r="AL11295" s="19"/>
    </row>
    <row r="11296" spans="1:38" s="11" customFormat="1" x14ac:dyDescent="0.25">
      <c r="A11296" s="3"/>
      <c r="F11296" s="19"/>
      <c r="G11296" s="19"/>
      <c r="N11296" s="19"/>
      <c r="P11296" s="19"/>
      <c r="AL11296" s="19"/>
    </row>
    <row r="11297" spans="1:38" s="11" customFormat="1" x14ac:dyDescent="0.25">
      <c r="A11297" s="3"/>
      <c r="F11297" s="19"/>
      <c r="G11297" s="19"/>
      <c r="N11297" s="19"/>
      <c r="P11297" s="19"/>
      <c r="AL11297" s="19"/>
    </row>
    <row r="11298" spans="1:38" s="11" customFormat="1" x14ac:dyDescent="0.25">
      <c r="A11298" s="3"/>
      <c r="F11298" s="19"/>
      <c r="G11298" s="19"/>
      <c r="N11298" s="19"/>
      <c r="P11298" s="19"/>
      <c r="AL11298" s="19"/>
    </row>
    <row r="11299" spans="1:38" s="11" customFormat="1" x14ac:dyDescent="0.25">
      <c r="A11299" s="3"/>
      <c r="F11299" s="19"/>
      <c r="G11299" s="19"/>
      <c r="N11299" s="19"/>
      <c r="P11299" s="19"/>
      <c r="AL11299" s="19"/>
    </row>
    <row r="11300" spans="1:38" s="11" customFormat="1" x14ac:dyDescent="0.25">
      <c r="A11300" s="3"/>
      <c r="F11300" s="19"/>
      <c r="G11300" s="19"/>
      <c r="N11300" s="19"/>
      <c r="P11300" s="19"/>
      <c r="AL11300" s="19"/>
    </row>
    <row r="11301" spans="1:38" s="11" customFormat="1" x14ac:dyDescent="0.25">
      <c r="A11301" s="3"/>
      <c r="F11301" s="19"/>
      <c r="G11301" s="19"/>
      <c r="N11301" s="19"/>
      <c r="P11301" s="19"/>
      <c r="AL11301" s="19"/>
    </row>
    <row r="11302" spans="1:38" s="11" customFormat="1" x14ac:dyDescent="0.25">
      <c r="A11302" s="3"/>
      <c r="F11302" s="19"/>
      <c r="G11302" s="19"/>
      <c r="N11302" s="19"/>
      <c r="P11302" s="19"/>
      <c r="AL11302" s="19"/>
    </row>
    <row r="11303" spans="1:38" s="11" customFormat="1" x14ac:dyDescent="0.25">
      <c r="A11303" s="3"/>
      <c r="F11303" s="19"/>
      <c r="G11303" s="19"/>
      <c r="N11303" s="19"/>
      <c r="P11303" s="19"/>
      <c r="AL11303" s="19"/>
    </row>
    <row r="11304" spans="1:38" s="11" customFormat="1" x14ac:dyDescent="0.25">
      <c r="A11304" s="3"/>
      <c r="F11304" s="19"/>
      <c r="G11304" s="19"/>
      <c r="N11304" s="19"/>
      <c r="P11304" s="19"/>
      <c r="AL11304" s="19"/>
    </row>
    <row r="11305" spans="1:38" s="11" customFormat="1" x14ac:dyDescent="0.25">
      <c r="A11305" s="3"/>
      <c r="F11305" s="19"/>
      <c r="G11305" s="19"/>
      <c r="N11305" s="19"/>
      <c r="P11305" s="19"/>
      <c r="AL11305" s="19"/>
    </row>
    <row r="11306" spans="1:38" s="11" customFormat="1" x14ac:dyDescent="0.25">
      <c r="A11306" s="3"/>
      <c r="F11306" s="19"/>
      <c r="G11306" s="19"/>
      <c r="N11306" s="19"/>
      <c r="P11306" s="19"/>
      <c r="AL11306" s="19"/>
    </row>
    <row r="11307" spans="1:38" s="11" customFormat="1" x14ac:dyDescent="0.25">
      <c r="A11307" s="3"/>
      <c r="F11307" s="19"/>
      <c r="G11307" s="19"/>
      <c r="N11307" s="19"/>
      <c r="P11307" s="19"/>
      <c r="AL11307" s="19"/>
    </row>
    <row r="11308" spans="1:38" s="11" customFormat="1" x14ac:dyDescent="0.25">
      <c r="A11308" s="3"/>
      <c r="F11308" s="19"/>
      <c r="G11308" s="19"/>
      <c r="N11308" s="19"/>
      <c r="P11308" s="19"/>
      <c r="AL11308" s="19"/>
    </row>
    <row r="11309" spans="1:38" s="11" customFormat="1" x14ac:dyDescent="0.25">
      <c r="A11309" s="3"/>
      <c r="F11309" s="19"/>
      <c r="G11309" s="19"/>
      <c r="N11309" s="19"/>
      <c r="P11309" s="19"/>
      <c r="AL11309" s="19"/>
    </row>
    <row r="11310" spans="1:38" s="11" customFormat="1" x14ac:dyDescent="0.25">
      <c r="A11310" s="3"/>
      <c r="F11310" s="19"/>
      <c r="G11310" s="19"/>
      <c r="N11310" s="19"/>
      <c r="P11310" s="19"/>
      <c r="AL11310" s="19"/>
    </row>
    <row r="11311" spans="1:38" s="11" customFormat="1" x14ac:dyDescent="0.25">
      <c r="A11311" s="3"/>
      <c r="F11311" s="19"/>
      <c r="G11311" s="19"/>
      <c r="N11311" s="19"/>
      <c r="P11311" s="19"/>
      <c r="AL11311" s="19"/>
    </row>
    <row r="11312" spans="1:38" s="11" customFormat="1" x14ac:dyDescent="0.25">
      <c r="A11312" s="3"/>
      <c r="F11312" s="19"/>
      <c r="G11312" s="19"/>
      <c r="N11312" s="19"/>
      <c r="P11312" s="19"/>
      <c r="AL11312" s="19"/>
    </row>
    <row r="11313" spans="1:38" s="11" customFormat="1" x14ac:dyDescent="0.25">
      <c r="A11313" s="3"/>
      <c r="F11313" s="19"/>
      <c r="G11313" s="19"/>
      <c r="N11313" s="19"/>
      <c r="P11313" s="19"/>
      <c r="AL11313" s="19"/>
    </row>
    <row r="11314" spans="1:38" s="11" customFormat="1" x14ac:dyDescent="0.25">
      <c r="A11314" s="3"/>
      <c r="F11314" s="19"/>
      <c r="G11314" s="19"/>
      <c r="N11314" s="19"/>
      <c r="P11314" s="19"/>
      <c r="AL11314" s="19"/>
    </row>
    <row r="11315" spans="1:38" s="11" customFormat="1" x14ac:dyDescent="0.25">
      <c r="A11315" s="3"/>
      <c r="F11315" s="19"/>
      <c r="G11315" s="19"/>
      <c r="N11315" s="19"/>
      <c r="P11315" s="19"/>
      <c r="AL11315" s="19"/>
    </row>
    <row r="11316" spans="1:38" s="11" customFormat="1" x14ac:dyDescent="0.25">
      <c r="A11316" s="3"/>
      <c r="F11316" s="19"/>
      <c r="G11316" s="19"/>
      <c r="N11316" s="19"/>
      <c r="P11316" s="19"/>
      <c r="AL11316" s="19"/>
    </row>
    <row r="11317" spans="1:38" s="11" customFormat="1" x14ac:dyDescent="0.25">
      <c r="A11317" s="3"/>
      <c r="F11317" s="19"/>
      <c r="G11317" s="19"/>
      <c r="N11317" s="19"/>
      <c r="P11317" s="19"/>
      <c r="AL11317" s="19"/>
    </row>
    <row r="11318" spans="1:38" s="11" customFormat="1" x14ac:dyDescent="0.25">
      <c r="A11318" s="3"/>
      <c r="F11318" s="19"/>
      <c r="G11318" s="19"/>
      <c r="N11318" s="19"/>
      <c r="P11318" s="19"/>
      <c r="AL11318" s="19"/>
    </row>
    <row r="11319" spans="1:38" s="11" customFormat="1" x14ac:dyDescent="0.25">
      <c r="A11319" s="3"/>
      <c r="F11319" s="19"/>
      <c r="G11319" s="19"/>
      <c r="N11319" s="19"/>
      <c r="P11319" s="19"/>
      <c r="AL11319" s="19"/>
    </row>
    <row r="11320" spans="1:38" s="11" customFormat="1" x14ac:dyDescent="0.25">
      <c r="A11320" s="3"/>
      <c r="F11320" s="19"/>
      <c r="G11320" s="19"/>
      <c r="N11320" s="19"/>
      <c r="P11320" s="19"/>
      <c r="AL11320" s="19"/>
    </row>
    <row r="11321" spans="1:38" s="11" customFormat="1" x14ac:dyDescent="0.25">
      <c r="A11321" s="3"/>
      <c r="F11321" s="19"/>
      <c r="G11321" s="19"/>
      <c r="N11321" s="19"/>
      <c r="P11321" s="19"/>
      <c r="AL11321" s="19"/>
    </row>
    <row r="11322" spans="1:38" s="11" customFormat="1" x14ac:dyDescent="0.25">
      <c r="A11322" s="3"/>
      <c r="F11322" s="19"/>
      <c r="G11322" s="19"/>
      <c r="N11322" s="19"/>
      <c r="P11322" s="19"/>
      <c r="AL11322" s="19"/>
    </row>
    <row r="11323" spans="1:38" s="11" customFormat="1" x14ac:dyDescent="0.25">
      <c r="A11323" s="3"/>
      <c r="F11323" s="19"/>
      <c r="G11323" s="19"/>
      <c r="N11323" s="19"/>
      <c r="P11323" s="19"/>
      <c r="AL11323" s="19"/>
    </row>
    <row r="11324" spans="1:38" s="11" customFormat="1" x14ac:dyDescent="0.25">
      <c r="A11324" s="3"/>
      <c r="F11324" s="19"/>
      <c r="G11324" s="19"/>
      <c r="N11324" s="19"/>
      <c r="P11324" s="19"/>
      <c r="AL11324" s="19"/>
    </row>
    <row r="11325" spans="1:38" s="11" customFormat="1" x14ac:dyDescent="0.25">
      <c r="A11325" s="3"/>
      <c r="F11325" s="19"/>
      <c r="G11325" s="19"/>
      <c r="N11325" s="19"/>
      <c r="P11325" s="19"/>
      <c r="AL11325" s="19"/>
    </row>
    <row r="11326" spans="1:38" s="11" customFormat="1" x14ac:dyDescent="0.25">
      <c r="A11326" s="3"/>
      <c r="F11326" s="19"/>
      <c r="G11326" s="19"/>
      <c r="N11326" s="19"/>
      <c r="P11326" s="19"/>
      <c r="AL11326" s="19"/>
    </row>
    <row r="11327" spans="1:38" s="11" customFormat="1" x14ac:dyDescent="0.25">
      <c r="A11327" s="3"/>
      <c r="F11327" s="19"/>
      <c r="G11327" s="19"/>
      <c r="N11327" s="19"/>
      <c r="P11327" s="19"/>
      <c r="AL11327" s="19"/>
    </row>
    <row r="11328" spans="1:38" s="11" customFormat="1" x14ac:dyDescent="0.25">
      <c r="A11328" s="3"/>
      <c r="F11328" s="19"/>
      <c r="G11328" s="19"/>
      <c r="N11328" s="19"/>
      <c r="P11328" s="19"/>
      <c r="AL11328" s="19"/>
    </row>
    <row r="11329" spans="1:38" s="11" customFormat="1" x14ac:dyDescent="0.25">
      <c r="A11329" s="3"/>
      <c r="F11329" s="19"/>
      <c r="G11329" s="19"/>
      <c r="N11329" s="19"/>
      <c r="P11329" s="19"/>
      <c r="AL11329" s="19"/>
    </row>
    <row r="11330" spans="1:38" s="11" customFormat="1" x14ac:dyDescent="0.25">
      <c r="A11330" s="3"/>
      <c r="F11330" s="19"/>
      <c r="G11330" s="19"/>
      <c r="N11330" s="19"/>
      <c r="P11330" s="19"/>
      <c r="AL11330" s="19"/>
    </row>
    <row r="11331" spans="1:38" s="11" customFormat="1" x14ac:dyDescent="0.25">
      <c r="A11331" s="3"/>
      <c r="F11331" s="19"/>
      <c r="G11331" s="19"/>
      <c r="N11331" s="19"/>
      <c r="P11331" s="19"/>
      <c r="AL11331" s="19"/>
    </row>
    <row r="11332" spans="1:38" s="11" customFormat="1" x14ac:dyDescent="0.25">
      <c r="A11332" s="3"/>
      <c r="F11332" s="19"/>
      <c r="G11332" s="19"/>
      <c r="N11332" s="19"/>
      <c r="P11332" s="19"/>
      <c r="AL11332" s="19"/>
    </row>
    <row r="11333" spans="1:38" s="11" customFormat="1" x14ac:dyDescent="0.25">
      <c r="A11333" s="3"/>
      <c r="F11333" s="19"/>
      <c r="G11333" s="19"/>
      <c r="N11333" s="19"/>
      <c r="P11333" s="19"/>
      <c r="AL11333" s="19"/>
    </row>
    <row r="11334" spans="1:38" s="11" customFormat="1" x14ac:dyDescent="0.25">
      <c r="A11334" s="3"/>
      <c r="F11334" s="19"/>
      <c r="G11334" s="19"/>
      <c r="N11334" s="19"/>
      <c r="P11334" s="19"/>
      <c r="AL11334" s="19"/>
    </row>
    <row r="11335" spans="1:38" s="11" customFormat="1" x14ac:dyDescent="0.25">
      <c r="A11335" s="3"/>
      <c r="F11335" s="19"/>
      <c r="G11335" s="19"/>
      <c r="N11335" s="19"/>
      <c r="P11335" s="19"/>
      <c r="AL11335" s="19"/>
    </row>
    <row r="11336" spans="1:38" s="11" customFormat="1" x14ac:dyDescent="0.25">
      <c r="A11336" s="3"/>
      <c r="F11336" s="19"/>
      <c r="G11336" s="19"/>
      <c r="N11336" s="19"/>
      <c r="P11336" s="19"/>
      <c r="AL11336" s="19"/>
    </row>
    <row r="11337" spans="1:38" s="11" customFormat="1" x14ac:dyDescent="0.25">
      <c r="A11337" s="3"/>
      <c r="F11337" s="19"/>
      <c r="G11337" s="19"/>
      <c r="N11337" s="19"/>
      <c r="P11337" s="19"/>
      <c r="AL11337" s="19"/>
    </row>
    <row r="11338" spans="1:38" s="11" customFormat="1" x14ac:dyDescent="0.25">
      <c r="A11338" s="3"/>
      <c r="F11338" s="19"/>
      <c r="G11338" s="19"/>
      <c r="N11338" s="19"/>
      <c r="P11338" s="19"/>
      <c r="AL11338" s="19"/>
    </row>
    <row r="11339" spans="1:38" s="11" customFormat="1" x14ac:dyDescent="0.25">
      <c r="A11339" s="3"/>
      <c r="F11339" s="19"/>
      <c r="G11339" s="19"/>
      <c r="N11339" s="19"/>
      <c r="P11339" s="19"/>
      <c r="AL11339" s="19"/>
    </row>
    <row r="11340" spans="1:38" s="11" customFormat="1" x14ac:dyDescent="0.25">
      <c r="A11340" s="3"/>
      <c r="F11340" s="19"/>
      <c r="G11340" s="19"/>
      <c r="N11340" s="19"/>
      <c r="P11340" s="19"/>
      <c r="AL11340" s="19"/>
    </row>
    <row r="11341" spans="1:38" s="11" customFormat="1" x14ac:dyDescent="0.25">
      <c r="A11341" s="3"/>
      <c r="F11341" s="19"/>
      <c r="G11341" s="19"/>
      <c r="N11341" s="19"/>
      <c r="P11341" s="19"/>
      <c r="AL11341" s="19"/>
    </row>
    <row r="11342" spans="1:38" s="11" customFormat="1" x14ac:dyDescent="0.25">
      <c r="A11342" s="3"/>
      <c r="F11342" s="19"/>
      <c r="G11342" s="19"/>
      <c r="N11342" s="19"/>
      <c r="P11342" s="19"/>
      <c r="AL11342" s="19"/>
    </row>
    <row r="11343" spans="1:38" s="11" customFormat="1" x14ac:dyDescent="0.25">
      <c r="A11343" s="3"/>
      <c r="F11343" s="19"/>
      <c r="G11343" s="19"/>
      <c r="N11343" s="19"/>
      <c r="P11343" s="19"/>
      <c r="AL11343" s="19"/>
    </row>
    <row r="11344" spans="1:38" s="11" customFormat="1" x14ac:dyDescent="0.25">
      <c r="A11344" s="3"/>
      <c r="F11344" s="19"/>
      <c r="G11344" s="19"/>
      <c r="N11344" s="19"/>
      <c r="P11344" s="19"/>
      <c r="AL11344" s="19"/>
    </row>
    <row r="11345" spans="1:38" s="11" customFormat="1" x14ac:dyDescent="0.25">
      <c r="A11345" s="3"/>
      <c r="F11345" s="19"/>
      <c r="G11345" s="19"/>
      <c r="N11345" s="19"/>
      <c r="P11345" s="19"/>
      <c r="AL11345" s="19"/>
    </row>
    <row r="11346" spans="1:38" s="11" customFormat="1" x14ac:dyDescent="0.25">
      <c r="A11346" s="3"/>
      <c r="F11346" s="19"/>
      <c r="G11346" s="19"/>
      <c r="N11346" s="19"/>
      <c r="P11346" s="19"/>
      <c r="AL11346" s="19"/>
    </row>
    <row r="11347" spans="1:38" s="11" customFormat="1" x14ac:dyDescent="0.25">
      <c r="A11347" s="3"/>
      <c r="F11347" s="19"/>
      <c r="G11347" s="19"/>
      <c r="N11347" s="19"/>
      <c r="P11347" s="19"/>
      <c r="AL11347" s="19"/>
    </row>
    <row r="11348" spans="1:38" s="11" customFormat="1" x14ac:dyDescent="0.25">
      <c r="A11348" s="3"/>
      <c r="F11348" s="19"/>
      <c r="G11348" s="19"/>
      <c r="N11348" s="19"/>
      <c r="P11348" s="19"/>
      <c r="AL11348" s="19"/>
    </row>
    <row r="11349" spans="1:38" s="11" customFormat="1" x14ac:dyDescent="0.25">
      <c r="A11349" s="3"/>
      <c r="F11349" s="19"/>
      <c r="G11349" s="19"/>
      <c r="N11349" s="19"/>
      <c r="P11349" s="19"/>
      <c r="AL11349" s="19"/>
    </row>
    <row r="11350" spans="1:38" s="11" customFormat="1" x14ac:dyDescent="0.25">
      <c r="A11350" s="3"/>
      <c r="F11350" s="19"/>
      <c r="G11350" s="19"/>
      <c r="N11350" s="19"/>
      <c r="P11350" s="19"/>
      <c r="AL11350" s="19"/>
    </row>
    <row r="11351" spans="1:38" s="11" customFormat="1" x14ac:dyDescent="0.25">
      <c r="A11351" s="3"/>
      <c r="F11351" s="19"/>
      <c r="G11351" s="19"/>
      <c r="N11351" s="19"/>
      <c r="P11351" s="19"/>
      <c r="AL11351" s="19"/>
    </row>
    <row r="11352" spans="1:38" s="11" customFormat="1" x14ac:dyDescent="0.25">
      <c r="A11352" s="3"/>
      <c r="F11352" s="19"/>
      <c r="G11352" s="19"/>
      <c r="N11352" s="19"/>
      <c r="P11352" s="19"/>
      <c r="AL11352" s="19"/>
    </row>
    <row r="11353" spans="1:38" s="11" customFormat="1" x14ac:dyDescent="0.25">
      <c r="A11353" s="3"/>
      <c r="F11353" s="19"/>
      <c r="G11353" s="19"/>
      <c r="N11353" s="19"/>
      <c r="P11353" s="19"/>
      <c r="AL11353" s="19"/>
    </row>
    <row r="11354" spans="1:38" s="11" customFormat="1" x14ac:dyDescent="0.25">
      <c r="A11354" s="3"/>
      <c r="F11354" s="19"/>
      <c r="G11354" s="19"/>
      <c r="N11354" s="19"/>
      <c r="P11354" s="19"/>
      <c r="AL11354" s="19"/>
    </row>
    <row r="11355" spans="1:38" s="11" customFormat="1" x14ac:dyDescent="0.25">
      <c r="A11355" s="3"/>
      <c r="F11355" s="19"/>
      <c r="G11355" s="19"/>
      <c r="N11355" s="19"/>
      <c r="P11355" s="19"/>
      <c r="AL11355" s="19"/>
    </row>
    <row r="11356" spans="1:38" s="11" customFormat="1" x14ac:dyDescent="0.25">
      <c r="A11356" s="3"/>
      <c r="F11356" s="19"/>
      <c r="G11356" s="19"/>
      <c r="N11356" s="19"/>
      <c r="P11356" s="19"/>
      <c r="AL11356" s="19"/>
    </row>
    <row r="11357" spans="1:38" s="11" customFormat="1" x14ac:dyDescent="0.25">
      <c r="A11357" s="3"/>
      <c r="F11357" s="19"/>
      <c r="G11357" s="19"/>
      <c r="N11357" s="19"/>
      <c r="P11357" s="19"/>
      <c r="AL11357" s="19"/>
    </row>
    <row r="11358" spans="1:38" s="11" customFormat="1" x14ac:dyDescent="0.25">
      <c r="A11358" s="3"/>
      <c r="F11358" s="19"/>
      <c r="G11358" s="19"/>
      <c r="N11358" s="19"/>
      <c r="P11358" s="19"/>
      <c r="AL11358" s="19"/>
    </row>
    <row r="11359" spans="1:38" s="11" customFormat="1" x14ac:dyDescent="0.25">
      <c r="A11359" s="3"/>
      <c r="F11359" s="19"/>
      <c r="G11359" s="19"/>
      <c r="N11359" s="19"/>
      <c r="P11359" s="19"/>
      <c r="AL11359" s="19"/>
    </row>
    <row r="11360" spans="1:38" s="11" customFormat="1" x14ac:dyDescent="0.25">
      <c r="A11360" s="3"/>
      <c r="F11360" s="19"/>
      <c r="G11360" s="19"/>
      <c r="N11360" s="19"/>
      <c r="P11360" s="19"/>
      <c r="AL11360" s="19"/>
    </row>
    <row r="11361" spans="1:38" s="11" customFormat="1" x14ac:dyDescent="0.25">
      <c r="A11361" s="3"/>
      <c r="F11361" s="19"/>
      <c r="G11361" s="19"/>
      <c r="N11361" s="19"/>
      <c r="P11361" s="19"/>
      <c r="AL11361" s="19"/>
    </row>
    <row r="11362" spans="1:38" s="11" customFormat="1" x14ac:dyDescent="0.25">
      <c r="A11362" s="3"/>
      <c r="F11362" s="19"/>
      <c r="G11362" s="19"/>
      <c r="N11362" s="19"/>
      <c r="P11362" s="19"/>
      <c r="AL11362" s="19"/>
    </row>
    <row r="11363" spans="1:38" s="11" customFormat="1" x14ac:dyDescent="0.25">
      <c r="A11363" s="3"/>
      <c r="F11363" s="19"/>
      <c r="G11363" s="19"/>
      <c r="N11363" s="19"/>
      <c r="P11363" s="19"/>
      <c r="AL11363" s="19"/>
    </row>
    <row r="11364" spans="1:38" s="11" customFormat="1" x14ac:dyDescent="0.25">
      <c r="A11364" s="3"/>
      <c r="F11364" s="19"/>
      <c r="G11364" s="19"/>
      <c r="N11364" s="19"/>
      <c r="P11364" s="19"/>
      <c r="AL11364" s="19"/>
    </row>
    <row r="11365" spans="1:38" s="11" customFormat="1" x14ac:dyDescent="0.25">
      <c r="A11365" s="3"/>
      <c r="F11365" s="19"/>
      <c r="G11365" s="19"/>
      <c r="N11365" s="19"/>
      <c r="P11365" s="19"/>
      <c r="AL11365" s="19"/>
    </row>
    <row r="11366" spans="1:38" s="11" customFormat="1" x14ac:dyDescent="0.25">
      <c r="A11366" s="3"/>
      <c r="F11366" s="19"/>
      <c r="G11366" s="19"/>
      <c r="N11366" s="19"/>
      <c r="P11366" s="19"/>
      <c r="AL11366" s="19"/>
    </row>
    <row r="11367" spans="1:38" s="11" customFormat="1" x14ac:dyDescent="0.25">
      <c r="A11367" s="3"/>
      <c r="F11367" s="19"/>
      <c r="G11367" s="19"/>
      <c r="N11367" s="19"/>
      <c r="P11367" s="19"/>
      <c r="AL11367" s="19"/>
    </row>
    <row r="11368" spans="1:38" s="11" customFormat="1" x14ac:dyDescent="0.25">
      <c r="A11368" s="3"/>
      <c r="F11368" s="19"/>
      <c r="G11368" s="19"/>
      <c r="N11368" s="19"/>
      <c r="P11368" s="19"/>
      <c r="AL11368" s="19"/>
    </row>
    <row r="11369" spans="1:38" s="11" customFormat="1" x14ac:dyDescent="0.25">
      <c r="A11369" s="3"/>
      <c r="F11369" s="19"/>
      <c r="G11369" s="19"/>
      <c r="N11369" s="19"/>
      <c r="P11369" s="19"/>
      <c r="AL11369" s="19"/>
    </row>
    <row r="11370" spans="1:38" s="11" customFormat="1" x14ac:dyDescent="0.25">
      <c r="A11370" s="3"/>
      <c r="F11370" s="19"/>
      <c r="G11370" s="19"/>
      <c r="N11370" s="19"/>
      <c r="P11370" s="19"/>
      <c r="AL11370" s="19"/>
    </row>
    <row r="11371" spans="1:38" s="11" customFormat="1" x14ac:dyDescent="0.25">
      <c r="A11371" s="3"/>
      <c r="F11371" s="19"/>
      <c r="G11371" s="19"/>
      <c r="N11371" s="19"/>
      <c r="P11371" s="19"/>
      <c r="AL11371" s="19"/>
    </row>
    <row r="11372" spans="1:38" s="11" customFormat="1" x14ac:dyDescent="0.25">
      <c r="A11372" s="3"/>
      <c r="F11372" s="19"/>
      <c r="G11372" s="19"/>
      <c r="N11372" s="19"/>
      <c r="P11372" s="19"/>
      <c r="AL11372" s="19"/>
    </row>
    <row r="11373" spans="1:38" s="11" customFormat="1" x14ac:dyDescent="0.25">
      <c r="A11373" s="3"/>
      <c r="F11373" s="19"/>
      <c r="G11373" s="19"/>
      <c r="N11373" s="19"/>
      <c r="P11373" s="19"/>
      <c r="AL11373" s="19"/>
    </row>
    <row r="11374" spans="1:38" s="11" customFormat="1" x14ac:dyDescent="0.25">
      <c r="A11374" s="3"/>
      <c r="F11374" s="19"/>
      <c r="G11374" s="19"/>
      <c r="N11374" s="19"/>
      <c r="P11374" s="19"/>
      <c r="AL11374" s="19"/>
    </row>
    <row r="11375" spans="1:38" s="11" customFormat="1" x14ac:dyDescent="0.25">
      <c r="A11375" s="3"/>
      <c r="F11375" s="19"/>
      <c r="G11375" s="19"/>
      <c r="N11375" s="19"/>
      <c r="P11375" s="19"/>
      <c r="AL11375" s="19"/>
    </row>
    <row r="11376" spans="1:38" s="11" customFormat="1" x14ac:dyDescent="0.25">
      <c r="A11376" s="3"/>
      <c r="F11376" s="19"/>
      <c r="G11376" s="19"/>
      <c r="N11376" s="19"/>
      <c r="P11376" s="19"/>
      <c r="AL11376" s="19"/>
    </row>
    <row r="11377" spans="1:38" s="11" customFormat="1" x14ac:dyDescent="0.25">
      <c r="A11377" s="3"/>
      <c r="F11377" s="19"/>
      <c r="G11377" s="19"/>
      <c r="N11377" s="19"/>
      <c r="P11377" s="19"/>
      <c r="AL11377" s="19"/>
    </row>
    <row r="11378" spans="1:38" s="11" customFormat="1" x14ac:dyDescent="0.25">
      <c r="A11378" s="3"/>
      <c r="F11378" s="19"/>
      <c r="G11378" s="19"/>
      <c r="N11378" s="19"/>
      <c r="P11378" s="19"/>
      <c r="AL11378" s="19"/>
    </row>
    <row r="11379" spans="1:38" s="11" customFormat="1" x14ac:dyDescent="0.25">
      <c r="A11379" s="3"/>
      <c r="F11379" s="19"/>
      <c r="G11379" s="19"/>
      <c r="N11379" s="19"/>
      <c r="P11379" s="19"/>
      <c r="AL11379" s="19"/>
    </row>
    <row r="11380" spans="1:38" s="11" customFormat="1" x14ac:dyDescent="0.25">
      <c r="A11380" s="3"/>
      <c r="F11380" s="19"/>
      <c r="G11380" s="19"/>
      <c r="N11380" s="19"/>
      <c r="P11380" s="19"/>
      <c r="AL11380" s="19"/>
    </row>
    <row r="11381" spans="1:38" s="11" customFormat="1" x14ac:dyDescent="0.25">
      <c r="A11381" s="3"/>
      <c r="F11381" s="19"/>
      <c r="G11381" s="19"/>
      <c r="N11381" s="19"/>
      <c r="P11381" s="19"/>
      <c r="AL11381" s="19"/>
    </row>
    <row r="11382" spans="1:38" s="11" customFormat="1" x14ac:dyDescent="0.25">
      <c r="A11382" s="3"/>
      <c r="F11382" s="19"/>
      <c r="G11382" s="19"/>
      <c r="N11382" s="19"/>
      <c r="P11382" s="19"/>
      <c r="AL11382" s="19"/>
    </row>
    <row r="11383" spans="1:38" s="11" customFormat="1" x14ac:dyDescent="0.25">
      <c r="A11383" s="3"/>
      <c r="F11383" s="19"/>
      <c r="G11383" s="19"/>
      <c r="N11383" s="19"/>
      <c r="P11383" s="19"/>
      <c r="AL11383" s="19"/>
    </row>
    <row r="11384" spans="1:38" s="11" customFormat="1" x14ac:dyDescent="0.25">
      <c r="A11384" s="3"/>
      <c r="F11384" s="19"/>
      <c r="G11384" s="19"/>
      <c r="N11384" s="19"/>
      <c r="P11384" s="19"/>
      <c r="AL11384" s="19"/>
    </row>
    <row r="11385" spans="1:38" s="11" customFormat="1" x14ac:dyDescent="0.25">
      <c r="A11385" s="3"/>
      <c r="F11385" s="19"/>
      <c r="G11385" s="19"/>
      <c r="N11385" s="19"/>
      <c r="P11385" s="19"/>
      <c r="AL11385" s="19"/>
    </row>
    <row r="11386" spans="1:38" s="11" customFormat="1" x14ac:dyDescent="0.25">
      <c r="A11386" s="3"/>
      <c r="F11386" s="19"/>
      <c r="G11386" s="19"/>
      <c r="N11386" s="19"/>
      <c r="P11386" s="19"/>
      <c r="AL11386" s="19"/>
    </row>
    <row r="11387" spans="1:38" s="11" customFormat="1" x14ac:dyDescent="0.25">
      <c r="A11387" s="3"/>
      <c r="F11387" s="19"/>
      <c r="G11387" s="19"/>
      <c r="N11387" s="19"/>
      <c r="P11387" s="19"/>
      <c r="AL11387" s="19"/>
    </row>
    <row r="11388" spans="1:38" s="11" customFormat="1" x14ac:dyDescent="0.25">
      <c r="A11388" s="3"/>
      <c r="F11388" s="19"/>
      <c r="G11388" s="19"/>
      <c r="N11388" s="19"/>
      <c r="P11388" s="19"/>
      <c r="AL11388" s="19"/>
    </row>
    <row r="11389" spans="1:38" s="11" customFormat="1" x14ac:dyDescent="0.25">
      <c r="A11389" s="3"/>
      <c r="F11389" s="19"/>
      <c r="G11389" s="19"/>
      <c r="N11389" s="19"/>
      <c r="P11389" s="19"/>
      <c r="AL11389" s="19"/>
    </row>
    <row r="11390" spans="1:38" s="11" customFormat="1" x14ac:dyDescent="0.25">
      <c r="A11390" s="3"/>
      <c r="F11390" s="19"/>
      <c r="G11390" s="19"/>
      <c r="N11390" s="19"/>
      <c r="P11390" s="19"/>
      <c r="AL11390" s="19"/>
    </row>
    <row r="11391" spans="1:38" s="11" customFormat="1" x14ac:dyDescent="0.25">
      <c r="A11391" s="3"/>
      <c r="F11391" s="19"/>
      <c r="G11391" s="19"/>
      <c r="N11391" s="19"/>
      <c r="P11391" s="19"/>
      <c r="AL11391" s="19"/>
    </row>
    <row r="11392" spans="1:38" s="11" customFormat="1" x14ac:dyDescent="0.25">
      <c r="A11392" s="3"/>
      <c r="F11392" s="19"/>
      <c r="G11392" s="19"/>
      <c r="N11392" s="19"/>
      <c r="P11392" s="19"/>
      <c r="AL11392" s="19"/>
    </row>
    <row r="11393" spans="1:38" s="11" customFormat="1" x14ac:dyDescent="0.25">
      <c r="A11393" s="3"/>
      <c r="F11393" s="19"/>
      <c r="G11393" s="19"/>
      <c r="N11393" s="19"/>
      <c r="P11393" s="19"/>
      <c r="AL11393" s="19"/>
    </row>
    <row r="11394" spans="1:38" s="11" customFormat="1" x14ac:dyDescent="0.25">
      <c r="A11394" s="3"/>
      <c r="F11394" s="19"/>
      <c r="G11394" s="19"/>
      <c r="N11394" s="19"/>
      <c r="P11394" s="19"/>
      <c r="AL11394" s="19"/>
    </row>
    <row r="11395" spans="1:38" s="11" customFormat="1" x14ac:dyDescent="0.25">
      <c r="A11395" s="3"/>
      <c r="F11395" s="19"/>
      <c r="G11395" s="19"/>
      <c r="N11395" s="19"/>
      <c r="P11395" s="19"/>
      <c r="AL11395" s="19"/>
    </row>
    <row r="11396" spans="1:38" s="11" customFormat="1" x14ac:dyDescent="0.25">
      <c r="A11396" s="3"/>
      <c r="F11396" s="19"/>
      <c r="G11396" s="19"/>
      <c r="N11396" s="19"/>
      <c r="P11396" s="19"/>
      <c r="AL11396" s="19"/>
    </row>
    <row r="11397" spans="1:38" s="11" customFormat="1" x14ac:dyDescent="0.25">
      <c r="A11397" s="3"/>
      <c r="F11397" s="19"/>
      <c r="G11397" s="19"/>
      <c r="N11397" s="19"/>
      <c r="P11397" s="19"/>
      <c r="AL11397" s="19"/>
    </row>
    <row r="11398" spans="1:38" s="11" customFormat="1" x14ac:dyDescent="0.25">
      <c r="A11398" s="3"/>
      <c r="F11398" s="19"/>
      <c r="G11398" s="19"/>
      <c r="N11398" s="19"/>
      <c r="P11398" s="19"/>
      <c r="AL11398" s="19"/>
    </row>
    <row r="11399" spans="1:38" s="11" customFormat="1" x14ac:dyDescent="0.25">
      <c r="A11399" s="3"/>
      <c r="F11399" s="19"/>
      <c r="G11399" s="19"/>
      <c r="N11399" s="19"/>
      <c r="P11399" s="19"/>
      <c r="AL11399" s="19"/>
    </row>
    <row r="11400" spans="1:38" s="11" customFormat="1" x14ac:dyDescent="0.25">
      <c r="A11400" s="3"/>
      <c r="F11400" s="19"/>
      <c r="G11400" s="19"/>
      <c r="N11400" s="19"/>
      <c r="P11400" s="19"/>
      <c r="AL11400" s="19"/>
    </row>
    <row r="11401" spans="1:38" s="11" customFormat="1" x14ac:dyDescent="0.25">
      <c r="A11401" s="3"/>
      <c r="F11401" s="19"/>
      <c r="G11401" s="19"/>
      <c r="N11401" s="19"/>
      <c r="P11401" s="19"/>
      <c r="AL11401" s="19"/>
    </row>
    <row r="11402" spans="1:38" s="11" customFormat="1" x14ac:dyDescent="0.25">
      <c r="A11402" s="3"/>
      <c r="F11402" s="19"/>
      <c r="G11402" s="19"/>
      <c r="N11402" s="19"/>
      <c r="P11402" s="19"/>
      <c r="AL11402" s="19"/>
    </row>
    <row r="11403" spans="1:38" s="11" customFormat="1" x14ac:dyDescent="0.25">
      <c r="A11403" s="3"/>
      <c r="F11403" s="19"/>
      <c r="G11403" s="19"/>
      <c r="N11403" s="19"/>
      <c r="P11403" s="19"/>
      <c r="AL11403" s="19"/>
    </row>
    <row r="11404" spans="1:38" s="11" customFormat="1" x14ac:dyDescent="0.25">
      <c r="A11404" s="3"/>
      <c r="F11404" s="19"/>
      <c r="G11404" s="19"/>
      <c r="N11404" s="19"/>
      <c r="P11404" s="19"/>
      <c r="AL11404" s="19"/>
    </row>
    <row r="11405" spans="1:38" s="11" customFormat="1" x14ac:dyDescent="0.25">
      <c r="A11405" s="3"/>
      <c r="F11405" s="19"/>
      <c r="G11405" s="19"/>
      <c r="N11405" s="19"/>
      <c r="P11405" s="19"/>
      <c r="AL11405" s="19"/>
    </row>
    <row r="11406" spans="1:38" s="11" customFormat="1" x14ac:dyDescent="0.25">
      <c r="A11406" s="3"/>
      <c r="F11406" s="19"/>
      <c r="G11406" s="19"/>
      <c r="N11406" s="19"/>
      <c r="P11406" s="19"/>
      <c r="AL11406" s="19"/>
    </row>
    <row r="11407" spans="1:38" s="11" customFormat="1" x14ac:dyDescent="0.25">
      <c r="A11407" s="3"/>
      <c r="F11407" s="19"/>
      <c r="G11407" s="19"/>
      <c r="N11407" s="19"/>
      <c r="P11407" s="19"/>
      <c r="AL11407" s="19"/>
    </row>
    <row r="11408" spans="1:38" s="11" customFormat="1" x14ac:dyDescent="0.25">
      <c r="A11408" s="3"/>
      <c r="F11408" s="19"/>
      <c r="G11408" s="19"/>
      <c r="N11408" s="19"/>
      <c r="P11408" s="19"/>
      <c r="AL11408" s="19"/>
    </row>
    <row r="11409" spans="1:38" s="11" customFormat="1" x14ac:dyDescent="0.25">
      <c r="A11409" s="3"/>
      <c r="F11409" s="19"/>
      <c r="G11409" s="19"/>
      <c r="N11409" s="19"/>
      <c r="P11409" s="19"/>
      <c r="AL11409" s="19"/>
    </row>
    <row r="11410" spans="1:38" s="11" customFormat="1" x14ac:dyDescent="0.25">
      <c r="A11410" s="3"/>
      <c r="F11410" s="19"/>
      <c r="G11410" s="19"/>
      <c r="N11410" s="19"/>
      <c r="P11410" s="19"/>
      <c r="AL11410" s="19"/>
    </row>
    <row r="11411" spans="1:38" s="11" customFormat="1" x14ac:dyDescent="0.25">
      <c r="A11411" s="3"/>
      <c r="F11411" s="19"/>
      <c r="G11411" s="19"/>
      <c r="N11411" s="19"/>
      <c r="P11411" s="19"/>
      <c r="AL11411" s="19"/>
    </row>
    <row r="11412" spans="1:38" s="11" customFormat="1" x14ac:dyDescent="0.25">
      <c r="A11412" s="3"/>
      <c r="F11412" s="19"/>
      <c r="G11412" s="19"/>
      <c r="N11412" s="19"/>
      <c r="P11412" s="19"/>
      <c r="AL11412" s="19"/>
    </row>
    <row r="11413" spans="1:38" s="11" customFormat="1" x14ac:dyDescent="0.25">
      <c r="A11413" s="3"/>
      <c r="F11413" s="19"/>
      <c r="G11413" s="19"/>
      <c r="N11413" s="19"/>
      <c r="P11413" s="19"/>
      <c r="AL11413" s="19"/>
    </row>
    <row r="11414" spans="1:38" s="11" customFormat="1" x14ac:dyDescent="0.25">
      <c r="A11414" s="3"/>
      <c r="F11414" s="19"/>
      <c r="G11414" s="19"/>
      <c r="N11414" s="19"/>
      <c r="P11414" s="19"/>
      <c r="AL11414" s="19"/>
    </row>
    <row r="11415" spans="1:38" s="11" customFormat="1" x14ac:dyDescent="0.25">
      <c r="A11415" s="3"/>
      <c r="F11415" s="19"/>
      <c r="G11415" s="19"/>
      <c r="N11415" s="19"/>
      <c r="P11415" s="19"/>
      <c r="AL11415" s="19"/>
    </row>
    <row r="11416" spans="1:38" s="11" customFormat="1" x14ac:dyDescent="0.25">
      <c r="A11416" s="3"/>
      <c r="F11416" s="19"/>
      <c r="G11416" s="19"/>
      <c r="N11416" s="19"/>
      <c r="P11416" s="19"/>
      <c r="AL11416" s="19"/>
    </row>
    <row r="11417" spans="1:38" s="11" customFormat="1" x14ac:dyDescent="0.25">
      <c r="A11417" s="3"/>
      <c r="F11417" s="19"/>
      <c r="G11417" s="19"/>
      <c r="N11417" s="19"/>
      <c r="P11417" s="19"/>
      <c r="AL11417" s="19"/>
    </row>
    <row r="11418" spans="1:38" s="11" customFormat="1" x14ac:dyDescent="0.25">
      <c r="A11418" s="3"/>
      <c r="F11418" s="19"/>
      <c r="G11418" s="19"/>
      <c r="N11418" s="19"/>
      <c r="P11418" s="19"/>
      <c r="AL11418" s="19"/>
    </row>
    <row r="11419" spans="1:38" s="11" customFormat="1" x14ac:dyDescent="0.25">
      <c r="A11419" s="3"/>
      <c r="F11419" s="19"/>
      <c r="G11419" s="19"/>
      <c r="N11419" s="19"/>
      <c r="P11419" s="19"/>
      <c r="AL11419" s="19"/>
    </row>
    <row r="11420" spans="1:38" s="11" customFormat="1" x14ac:dyDescent="0.25">
      <c r="A11420" s="3"/>
      <c r="F11420" s="19"/>
      <c r="G11420" s="19"/>
      <c r="N11420" s="19"/>
      <c r="P11420" s="19"/>
      <c r="AL11420" s="19"/>
    </row>
    <row r="11421" spans="1:38" s="11" customFormat="1" x14ac:dyDescent="0.25">
      <c r="A11421" s="3"/>
      <c r="F11421" s="19"/>
      <c r="G11421" s="19"/>
      <c r="N11421" s="19"/>
      <c r="P11421" s="19"/>
      <c r="AL11421" s="19"/>
    </row>
    <row r="11422" spans="1:38" s="11" customFormat="1" x14ac:dyDescent="0.25">
      <c r="A11422" s="3"/>
      <c r="F11422" s="19"/>
      <c r="G11422" s="19"/>
      <c r="N11422" s="19"/>
      <c r="P11422" s="19"/>
      <c r="AL11422" s="19"/>
    </row>
    <row r="11423" spans="1:38" s="11" customFormat="1" x14ac:dyDescent="0.25">
      <c r="A11423" s="3"/>
      <c r="F11423" s="19"/>
      <c r="G11423" s="19"/>
      <c r="N11423" s="19"/>
      <c r="P11423" s="19"/>
      <c r="AL11423" s="19"/>
    </row>
    <row r="11424" spans="1:38" s="11" customFormat="1" x14ac:dyDescent="0.25">
      <c r="A11424" s="3"/>
      <c r="F11424" s="19"/>
      <c r="G11424" s="19"/>
      <c r="N11424" s="19"/>
      <c r="P11424" s="19"/>
      <c r="AL11424" s="19"/>
    </row>
    <row r="11425" spans="1:38" s="11" customFormat="1" x14ac:dyDescent="0.25">
      <c r="A11425" s="3"/>
      <c r="F11425" s="19"/>
      <c r="G11425" s="19"/>
      <c r="N11425" s="19"/>
      <c r="P11425" s="19"/>
      <c r="AL11425" s="19"/>
    </row>
    <row r="11426" spans="1:38" s="11" customFormat="1" x14ac:dyDescent="0.25">
      <c r="A11426" s="3"/>
      <c r="F11426" s="19"/>
      <c r="G11426" s="19"/>
      <c r="N11426" s="19"/>
      <c r="P11426" s="19"/>
      <c r="AL11426" s="19"/>
    </row>
    <row r="11427" spans="1:38" s="11" customFormat="1" x14ac:dyDescent="0.25">
      <c r="A11427" s="3"/>
      <c r="F11427" s="19"/>
      <c r="G11427" s="19"/>
      <c r="N11427" s="19"/>
      <c r="P11427" s="19"/>
      <c r="AL11427" s="19"/>
    </row>
    <row r="11428" spans="1:38" s="11" customFormat="1" x14ac:dyDescent="0.25">
      <c r="A11428" s="3"/>
      <c r="F11428" s="19"/>
      <c r="G11428" s="19"/>
      <c r="N11428" s="19"/>
      <c r="P11428" s="19"/>
      <c r="AL11428" s="19"/>
    </row>
    <row r="11429" spans="1:38" s="11" customFormat="1" x14ac:dyDescent="0.25">
      <c r="A11429" s="3"/>
      <c r="F11429" s="19"/>
      <c r="G11429" s="19"/>
      <c r="N11429" s="19"/>
      <c r="P11429" s="19"/>
      <c r="AL11429" s="19"/>
    </row>
    <row r="11430" spans="1:38" s="11" customFormat="1" x14ac:dyDescent="0.25">
      <c r="A11430" s="3"/>
      <c r="F11430" s="19"/>
      <c r="G11430" s="19"/>
      <c r="N11430" s="19"/>
      <c r="P11430" s="19"/>
      <c r="AL11430" s="19"/>
    </row>
    <row r="11431" spans="1:38" s="11" customFormat="1" x14ac:dyDescent="0.25">
      <c r="A11431" s="3"/>
      <c r="F11431" s="19"/>
      <c r="G11431" s="19"/>
      <c r="N11431" s="19"/>
      <c r="P11431" s="19"/>
      <c r="AL11431" s="19"/>
    </row>
    <row r="11432" spans="1:38" s="11" customFormat="1" x14ac:dyDescent="0.25">
      <c r="A11432" s="3"/>
      <c r="F11432" s="19"/>
      <c r="G11432" s="19"/>
      <c r="N11432" s="19"/>
      <c r="P11432" s="19"/>
      <c r="AL11432" s="19"/>
    </row>
    <row r="11433" spans="1:38" s="11" customFormat="1" x14ac:dyDescent="0.25">
      <c r="A11433" s="3"/>
      <c r="F11433" s="19"/>
      <c r="G11433" s="19"/>
      <c r="N11433" s="19"/>
      <c r="P11433" s="19"/>
      <c r="AL11433" s="19"/>
    </row>
    <row r="11434" spans="1:38" s="11" customFormat="1" x14ac:dyDescent="0.25">
      <c r="A11434" s="3"/>
      <c r="F11434" s="19"/>
      <c r="G11434" s="19"/>
      <c r="N11434" s="19"/>
      <c r="P11434" s="19"/>
      <c r="AL11434" s="19"/>
    </row>
    <row r="11435" spans="1:38" s="11" customFormat="1" x14ac:dyDescent="0.25">
      <c r="A11435" s="3"/>
      <c r="F11435" s="19"/>
      <c r="G11435" s="19"/>
      <c r="N11435" s="19"/>
      <c r="P11435" s="19"/>
      <c r="AL11435" s="19"/>
    </row>
    <row r="11436" spans="1:38" s="11" customFormat="1" x14ac:dyDescent="0.25">
      <c r="A11436" s="3"/>
      <c r="F11436" s="19"/>
      <c r="G11436" s="19"/>
      <c r="N11436" s="19"/>
      <c r="P11436" s="19"/>
      <c r="AL11436" s="19"/>
    </row>
    <row r="11437" spans="1:38" s="11" customFormat="1" x14ac:dyDescent="0.25">
      <c r="A11437" s="3"/>
      <c r="F11437" s="19"/>
      <c r="G11437" s="19"/>
      <c r="N11437" s="19"/>
      <c r="P11437" s="19"/>
      <c r="AL11437" s="19"/>
    </row>
    <row r="11438" spans="1:38" s="11" customFormat="1" x14ac:dyDescent="0.25">
      <c r="A11438" s="3"/>
      <c r="F11438" s="19"/>
      <c r="G11438" s="19"/>
      <c r="N11438" s="19"/>
      <c r="P11438" s="19"/>
      <c r="AL11438" s="19"/>
    </row>
    <row r="11439" spans="1:38" s="11" customFormat="1" x14ac:dyDescent="0.25">
      <c r="A11439" s="3"/>
      <c r="F11439" s="19"/>
      <c r="G11439" s="19"/>
      <c r="N11439" s="19"/>
      <c r="P11439" s="19"/>
      <c r="AL11439" s="19"/>
    </row>
    <row r="11440" spans="1:38" s="11" customFormat="1" x14ac:dyDescent="0.25">
      <c r="A11440" s="3"/>
      <c r="F11440" s="19"/>
      <c r="G11440" s="19"/>
      <c r="N11440" s="19"/>
      <c r="P11440" s="19"/>
      <c r="AL11440" s="19"/>
    </row>
    <row r="11441" spans="1:38" s="11" customFormat="1" x14ac:dyDescent="0.25">
      <c r="A11441" s="3"/>
      <c r="F11441" s="19"/>
      <c r="G11441" s="19"/>
      <c r="N11441" s="19"/>
      <c r="P11441" s="19"/>
      <c r="AL11441" s="19"/>
    </row>
    <row r="11442" spans="1:38" s="11" customFormat="1" x14ac:dyDescent="0.25">
      <c r="A11442" s="3"/>
      <c r="F11442" s="19"/>
      <c r="G11442" s="19"/>
      <c r="N11442" s="19"/>
      <c r="P11442" s="19"/>
      <c r="AL11442" s="19"/>
    </row>
    <row r="11443" spans="1:38" s="11" customFormat="1" x14ac:dyDescent="0.25">
      <c r="A11443" s="3"/>
      <c r="F11443" s="19"/>
      <c r="G11443" s="19"/>
      <c r="N11443" s="19"/>
      <c r="P11443" s="19"/>
      <c r="AL11443" s="19"/>
    </row>
    <row r="11444" spans="1:38" s="11" customFormat="1" x14ac:dyDescent="0.25">
      <c r="A11444" s="3"/>
      <c r="F11444" s="19"/>
      <c r="G11444" s="19"/>
      <c r="N11444" s="19"/>
      <c r="P11444" s="19"/>
      <c r="AL11444" s="19"/>
    </row>
    <row r="11445" spans="1:38" s="11" customFormat="1" x14ac:dyDescent="0.25">
      <c r="A11445" s="3"/>
      <c r="F11445" s="19"/>
      <c r="G11445" s="19"/>
      <c r="N11445" s="19"/>
      <c r="P11445" s="19"/>
      <c r="AL11445" s="19"/>
    </row>
    <row r="11446" spans="1:38" s="11" customFormat="1" x14ac:dyDescent="0.25">
      <c r="A11446" s="3"/>
      <c r="F11446" s="19"/>
      <c r="G11446" s="19"/>
      <c r="N11446" s="19"/>
      <c r="P11446" s="19"/>
      <c r="AL11446" s="19"/>
    </row>
    <row r="11447" spans="1:38" s="11" customFormat="1" x14ac:dyDescent="0.25">
      <c r="A11447" s="3"/>
      <c r="F11447" s="19"/>
      <c r="G11447" s="19"/>
      <c r="N11447" s="19"/>
      <c r="P11447" s="19"/>
      <c r="AL11447" s="19"/>
    </row>
    <row r="11448" spans="1:38" s="11" customFormat="1" x14ac:dyDescent="0.25">
      <c r="A11448" s="3"/>
      <c r="F11448" s="19"/>
      <c r="G11448" s="19"/>
      <c r="N11448" s="19"/>
      <c r="P11448" s="19"/>
      <c r="AL11448" s="19"/>
    </row>
    <row r="11449" spans="1:38" s="11" customFormat="1" x14ac:dyDescent="0.25">
      <c r="A11449" s="3"/>
      <c r="F11449" s="19"/>
      <c r="G11449" s="19"/>
      <c r="N11449" s="19"/>
      <c r="P11449" s="19"/>
      <c r="AL11449" s="19"/>
    </row>
    <row r="11450" spans="1:38" s="11" customFormat="1" x14ac:dyDescent="0.25">
      <c r="A11450" s="3"/>
      <c r="F11450" s="19"/>
      <c r="G11450" s="19"/>
      <c r="N11450" s="19"/>
      <c r="P11450" s="19"/>
      <c r="AL11450" s="19"/>
    </row>
    <row r="11451" spans="1:38" s="11" customFormat="1" x14ac:dyDescent="0.25">
      <c r="A11451" s="3"/>
      <c r="F11451" s="19"/>
      <c r="G11451" s="19"/>
      <c r="N11451" s="19"/>
      <c r="P11451" s="19"/>
      <c r="AL11451" s="19"/>
    </row>
    <row r="11452" spans="1:38" s="11" customFormat="1" x14ac:dyDescent="0.25">
      <c r="A11452" s="3"/>
      <c r="F11452" s="19"/>
      <c r="G11452" s="19"/>
      <c r="N11452" s="19"/>
      <c r="P11452" s="19"/>
      <c r="AL11452" s="19"/>
    </row>
    <row r="11453" spans="1:38" s="11" customFormat="1" x14ac:dyDescent="0.25">
      <c r="A11453" s="3"/>
      <c r="F11453" s="19"/>
      <c r="G11453" s="19"/>
      <c r="N11453" s="19"/>
      <c r="P11453" s="19"/>
      <c r="AL11453" s="19"/>
    </row>
    <row r="11454" spans="1:38" s="11" customFormat="1" x14ac:dyDescent="0.25">
      <c r="A11454" s="3"/>
      <c r="F11454" s="19"/>
      <c r="G11454" s="19"/>
      <c r="N11454" s="19"/>
      <c r="P11454" s="19"/>
      <c r="AL11454" s="19"/>
    </row>
    <row r="11455" spans="1:38" s="11" customFormat="1" x14ac:dyDescent="0.25">
      <c r="A11455" s="3"/>
      <c r="F11455" s="19"/>
      <c r="G11455" s="19"/>
      <c r="N11455" s="19"/>
      <c r="P11455" s="19"/>
      <c r="AL11455" s="19"/>
    </row>
    <row r="11456" spans="1:38" s="11" customFormat="1" x14ac:dyDescent="0.25">
      <c r="A11456" s="3"/>
      <c r="F11456" s="19"/>
      <c r="G11456" s="19"/>
      <c r="N11456" s="19"/>
      <c r="P11456" s="19"/>
      <c r="AL11456" s="19"/>
    </row>
    <row r="11457" spans="1:38" s="11" customFormat="1" x14ac:dyDescent="0.25">
      <c r="A11457" s="3"/>
      <c r="F11457" s="19"/>
      <c r="G11457" s="19"/>
      <c r="N11457" s="19"/>
      <c r="P11457" s="19"/>
      <c r="AL11457" s="19"/>
    </row>
    <row r="11458" spans="1:38" s="11" customFormat="1" x14ac:dyDescent="0.25">
      <c r="A11458" s="3"/>
      <c r="F11458" s="19"/>
      <c r="G11458" s="19"/>
      <c r="N11458" s="19"/>
      <c r="P11458" s="19"/>
      <c r="AL11458" s="19"/>
    </row>
    <row r="11459" spans="1:38" s="11" customFormat="1" x14ac:dyDescent="0.25">
      <c r="A11459" s="3"/>
      <c r="F11459" s="19"/>
      <c r="G11459" s="19"/>
      <c r="N11459" s="19"/>
      <c r="P11459" s="19"/>
      <c r="AL11459" s="19"/>
    </row>
    <row r="11460" spans="1:38" s="11" customFormat="1" x14ac:dyDescent="0.25">
      <c r="A11460" s="3"/>
      <c r="F11460" s="19"/>
      <c r="G11460" s="19"/>
      <c r="N11460" s="19"/>
      <c r="P11460" s="19"/>
      <c r="AL11460" s="19"/>
    </row>
    <row r="11461" spans="1:38" s="11" customFormat="1" x14ac:dyDescent="0.25">
      <c r="A11461" s="3"/>
      <c r="F11461" s="19"/>
      <c r="G11461" s="19"/>
      <c r="N11461" s="19"/>
      <c r="P11461" s="19"/>
      <c r="AL11461" s="19"/>
    </row>
    <row r="11462" spans="1:38" s="11" customFormat="1" x14ac:dyDescent="0.25">
      <c r="A11462" s="3"/>
      <c r="F11462" s="19"/>
      <c r="G11462" s="19"/>
      <c r="N11462" s="19"/>
      <c r="P11462" s="19"/>
      <c r="AL11462" s="19"/>
    </row>
    <row r="11463" spans="1:38" s="11" customFormat="1" x14ac:dyDescent="0.25">
      <c r="A11463" s="3"/>
      <c r="F11463" s="19"/>
      <c r="G11463" s="19"/>
      <c r="N11463" s="19"/>
      <c r="P11463" s="19"/>
      <c r="AL11463" s="19"/>
    </row>
    <row r="11464" spans="1:38" s="11" customFormat="1" x14ac:dyDescent="0.25">
      <c r="A11464" s="3"/>
      <c r="F11464" s="19"/>
      <c r="G11464" s="19"/>
      <c r="N11464" s="19"/>
      <c r="P11464" s="19"/>
      <c r="AL11464" s="19"/>
    </row>
    <row r="11465" spans="1:38" s="11" customFormat="1" x14ac:dyDescent="0.25">
      <c r="A11465" s="3"/>
      <c r="F11465" s="19"/>
      <c r="G11465" s="19"/>
      <c r="N11465" s="19"/>
      <c r="P11465" s="19"/>
      <c r="AL11465" s="19"/>
    </row>
    <row r="11466" spans="1:38" s="11" customFormat="1" x14ac:dyDescent="0.25">
      <c r="A11466" s="3"/>
      <c r="F11466" s="19"/>
      <c r="G11466" s="19"/>
      <c r="N11466" s="19"/>
      <c r="P11466" s="19"/>
      <c r="AL11466" s="19"/>
    </row>
    <row r="11467" spans="1:38" s="11" customFormat="1" x14ac:dyDescent="0.25">
      <c r="A11467" s="3"/>
      <c r="F11467" s="19"/>
      <c r="G11467" s="19"/>
      <c r="N11467" s="19"/>
      <c r="P11467" s="19"/>
      <c r="AL11467" s="19"/>
    </row>
    <row r="11468" spans="1:38" s="11" customFormat="1" x14ac:dyDescent="0.25">
      <c r="A11468" s="3"/>
      <c r="F11468" s="19"/>
      <c r="G11468" s="19"/>
      <c r="N11468" s="19"/>
      <c r="P11468" s="19"/>
      <c r="AL11468" s="19"/>
    </row>
    <row r="11469" spans="1:38" s="11" customFormat="1" x14ac:dyDescent="0.25">
      <c r="A11469" s="3"/>
      <c r="F11469" s="19"/>
      <c r="G11469" s="19"/>
      <c r="N11469" s="19"/>
      <c r="P11469" s="19"/>
      <c r="AL11469" s="19"/>
    </row>
    <row r="11470" spans="1:38" s="11" customFormat="1" x14ac:dyDescent="0.25">
      <c r="A11470" s="3"/>
      <c r="F11470" s="19"/>
      <c r="G11470" s="19"/>
      <c r="N11470" s="19"/>
      <c r="P11470" s="19"/>
      <c r="AL11470" s="19"/>
    </row>
    <row r="11471" spans="1:38" s="11" customFormat="1" x14ac:dyDescent="0.25">
      <c r="A11471" s="3"/>
      <c r="F11471" s="19"/>
      <c r="G11471" s="19"/>
      <c r="N11471" s="19"/>
      <c r="P11471" s="19"/>
      <c r="AL11471" s="19"/>
    </row>
    <row r="11472" spans="1:38" s="11" customFormat="1" x14ac:dyDescent="0.25">
      <c r="A11472" s="3"/>
      <c r="F11472" s="19"/>
      <c r="G11472" s="19"/>
      <c r="N11472" s="19"/>
      <c r="P11472" s="19"/>
      <c r="AL11472" s="19"/>
    </row>
    <row r="11473" spans="1:38" s="11" customFormat="1" x14ac:dyDescent="0.25">
      <c r="A11473" s="3"/>
      <c r="F11473" s="19"/>
      <c r="G11473" s="19"/>
      <c r="N11473" s="19"/>
      <c r="P11473" s="19"/>
      <c r="AL11473" s="19"/>
    </row>
    <row r="11474" spans="1:38" s="11" customFormat="1" x14ac:dyDescent="0.25">
      <c r="A11474" s="3"/>
      <c r="F11474" s="19"/>
      <c r="G11474" s="19"/>
      <c r="N11474" s="19"/>
      <c r="P11474" s="19"/>
      <c r="AL11474" s="19"/>
    </row>
    <row r="11475" spans="1:38" s="11" customFormat="1" x14ac:dyDescent="0.25">
      <c r="A11475" s="3"/>
      <c r="F11475" s="19"/>
      <c r="G11475" s="19"/>
      <c r="N11475" s="19"/>
      <c r="P11475" s="19"/>
      <c r="AL11475" s="19"/>
    </row>
    <row r="11476" spans="1:38" s="11" customFormat="1" x14ac:dyDescent="0.25">
      <c r="A11476" s="3"/>
      <c r="F11476" s="19"/>
      <c r="G11476" s="19"/>
      <c r="N11476" s="19"/>
      <c r="P11476" s="19"/>
      <c r="AL11476" s="19"/>
    </row>
    <row r="11477" spans="1:38" s="11" customFormat="1" x14ac:dyDescent="0.25">
      <c r="A11477" s="3"/>
      <c r="F11477" s="19"/>
      <c r="G11477" s="19"/>
      <c r="N11477" s="19"/>
      <c r="P11477" s="19"/>
      <c r="AL11477" s="19"/>
    </row>
    <row r="11478" spans="1:38" s="11" customFormat="1" x14ac:dyDescent="0.25">
      <c r="A11478" s="3"/>
      <c r="F11478" s="19"/>
      <c r="G11478" s="19"/>
      <c r="N11478" s="19"/>
      <c r="P11478" s="19"/>
      <c r="AL11478" s="19"/>
    </row>
    <row r="11479" spans="1:38" s="11" customFormat="1" x14ac:dyDescent="0.25">
      <c r="A11479" s="3"/>
      <c r="F11479" s="19"/>
      <c r="G11479" s="19"/>
      <c r="N11479" s="19"/>
      <c r="P11479" s="19"/>
      <c r="AL11479" s="19"/>
    </row>
    <row r="11480" spans="1:38" s="11" customFormat="1" x14ac:dyDescent="0.25">
      <c r="A11480" s="3"/>
      <c r="F11480" s="19"/>
      <c r="G11480" s="19"/>
      <c r="N11480" s="19"/>
      <c r="P11480" s="19"/>
      <c r="AL11480" s="19"/>
    </row>
    <row r="11481" spans="1:38" s="11" customFormat="1" x14ac:dyDescent="0.25">
      <c r="A11481" s="3"/>
      <c r="F11481" s="19"/>
      <c r="G11481" s="19"/>
      <c r="N11481" s="19"/>
      <c r="P11481" s="19"/>
      <c r="AL11481" s="19"/>
    </row>
    <row r="11482" spans="1:38" s="11" customFormat="1" x14ac:dyDescent="0.25">
      <c r="A11482" s="3"/>
      <c r="F11482" s="19"/>
      <c r="G11482" s="19"/>
      <c r="N11482" s="19"/>
      <c r="P11482" s="19"/>
      <c r="AL11482" s="19"/>
    </row>
    <row r="11483" spans="1:38" s="11" customFormat="1" x14ac:dyDescent="0.25">
      <c r="A11483" s="3"/>
      <c r="F11483" s="19"/>
      <c r="G11483" s="19"/>
      <c r="N11483" s="19"/>
      <c r="P11483" s="19"/>
      <c r="AL11483" s="19"/>
    </row>
    <row r="11484" spans="1:38" s="11" customFormat="1" x14ac:dyDescent="0.25">
      <c r="A11484" s="3"/>
      <c r="F11484" s="19"/>
      <c r="G11484" s="19"/>
      <c r="N11484" s="19"/>
      <c r="P11484" s="19"/>
      <c r="AL11484" s="19"/>
    </row>
    <row r="11485" spans="1:38" s="11" customFormat="1" x14ac:dyDescent="0.25">
      <c r="A11485" s="3"/>
      <c r="F11485" s="19"/>
      <c r="G11485" s="19"/>
      <c r="N11485" s="19"/>
      <c r="P11485" s="19"/>
      <c r="AL11485" s="19"/>
    </row>
    <row r="11486" spans="1:38" s="11" customFormat="1" x14ac:dyDescent="0.25">
      <c r="A11486" s="3"/>
      <c r="F11486" s="19"/>
      <c r="G11486" s="19"/>
      <c r="N11486" s="19"/>
      <c r="P11486" s="19"/>
      <c r="AL11486" s="19"/>
    </row>
    <row r="11487" spans="1:38" s="11" customFormat="1" x14ac:dyDescent="0.25">
      <c r="A11487" s="3"/>
      <c r="F11487" s="19"/>
      <c r="G11487" s="19"/>
      <c r="N11487" s="19"/>
      <c r="P11487" s="19"/>
      <c r="AL11487" s="19"/>
    </row>
    <row r="11488" spans="1:38" s="11" customFormat="1" x14ac:dyDescent="0.25">
      <c r="A11488" s="3"/>
      <c r="F11488" s="19"/>
      <c r="G11488" s="19"/>
      <c r="N11488" s="19"/>
      <c r="P11488" s="19"/>
      <c r="AL11488" s="19"/>
    </row>
    <row r="11489" spans="1:38" s="11" customFormat="1" x14ac:dyDescent="0.25">
      <c r="A11489" s="3"/>
      <c r="F11489" s="19"/>
      <c r="G11489" s="19"/>
      <c r="N11489" s="19"/>
      <c r="P11489" s="19"/>
      <c r="AL11489" s="19"/>
    </row>
    <row r="11490" spans="1:38" s="11" customFormat="1" x14ac:dyDescent="0.25">
      <c r="A11490" s="3"/>
      <c r="F11490" s="19"/>
      <c r="G11490" s="19"/>
      <c r="N11490" s="19"/>
      <c r="P11490" s="19"/>
      <c r="AL11490" s="19"/>
    </row>
    <row r="11491" spans="1:38" s="11" customFormat="1" x14ac:dyDescent="0.25">
      <c r="A11491" s="3"/>
      <c r="F11491" s="19"/>
      <c r="G11491" s="19"/>
      <c r="N11491" s="19"/>
      <c r="P11491" s="19"/>
      <c r="AL11491" s="19"/>
    </row>
    <row r="11492" spans="1:38" s="11" customFormat="1" x14ac:dyDescent="0.25">
      <c r="A11492" s="3"/>
      <c r="F11492" s="19"/>
      <c r="G11492" s="19"/>
      <c r="N11492" s="19"/>
      <c r="P11492" s="19"/>
      <c r="AL11492" s="19"/>
    </row>
    <row r="11493" spans="1:38" s="11" customFormat="1" x14ac:dyDescent="0.25">
      <c r="A11493" s="3"/>
      <c r="F11493" s="19"/>
      <c r="G11493" s="19"/>
      <c r="N11493" s="19"/>
      <c r="P11493" s="19"/>
      <c r="AL11493" s="19"/>
    </row>
    <row r="11494" spans="1:38" s="11" customFormat="1" x14ac:dyDescent="0.25">
      <c r="A11494" s="3"/>
      <c r="F11494" s="19"/>
      <c r="G11494" s="19"/>
      <c r="N11494" s="19"/>
      <c r="P11494" s="19"/>
      <c r="AL11494" s="19"/>
    </row>
    <row r="11495" spans="1:38" s="11" customFormat="1" x14ac:dyDescent="0.25">
      <c r="A11495" s="3"/>
      <c r="F11495" s="19"/>
      <c r="G11495" s="19"/>
      <c r="N11495" s="19"/>
      <c r="P11495" s="19"/>
      <c r="AL11495" s="19"/>
    </row>
    <row r="11496" spans="1:38" s="11" customFormat="1" x14ac:dyDescent="0.25">
      <c r="A11496" s="3"/>
      <c r="F11496" s="19"/>
      <c r="G11496" s="19"/>
      <c r="N11496" s="19"/>
      <c r="P11496" s="19"/>
      <c r="AL11496" s="19"/>
    </row>
    <row r="11497" spans="1:38" s="11" customFormat="1" x14ac:dyDescent="0.25">
      <c r="A11497" s="3"/>
      <c r="F11497" s="19"/>
      <c r="G11497" s="19"/>
      <c r="N11497" s="19"/>
      <c r="P11497" s="19"/>
      <c r="AL11497" s="19"/>
    </row>
    <row r="11498" spans="1:38" s="11" customFormat="1" x14ac:dyDescent="0.25">
      <c r="A11498" s="3"/>
      <c r="F11498" s="19"/>
      <c r="G11498" s="19"/>
      <c r="N11498" s="19"/>
      <c r="P11498" s="19"/>
      <c r="AL11498" s="19"/>
    </row>
    <row r="11499" spans="1:38" s="11" customFormat="1" x14ac:dyDescent="0.25">
      <c r="A11499" s="3"/>
      <c r="F11499" s="19"/>
      <c r="G11499" s="19"/>
      <c r="N11499" s="19"/>
      <c r="P11499" s="19"/>
      <c r="AL11499" s="19"/>
    </row>
    <row r="11500" spans="1:38" s="11" customFormat="1" x14ac:dyDescent="0.25">
      <c r="A11500" s="3"/>
      <c r="F11500" s="19"/>
      <c r="G11500" s="19"/>
      <c r="N11500" s="19"/>
      <c r="P11500" s="19"/>
      <c r="AL11500" s="19"/>
    </row>
    <row r="11501" spans="1:38" s="11" customFormat="1" x14ac:dyDescent="0.25">
      <c r="A11501" s="3"/>
      <c r="F11501" s="19"/>
      <c r="G11501" s="19"/>
      <c r="N11501" s="19"/>
      <c r="P11501" s="19"/>
      <c r="AL11501" s="19"/>
    </row>
    <row r="11502" spans="1:38" s="11" customFormat="1" x14ac:dyDescent="0.25">
      <c r="A11502" s="3"/>
      <c r="F11502" s="19"/>
      <c r="G11502" s="19"/>
      <c r="N11502" s="19"/>
      <c r="P11502" s="19"/>
      <c r="AL11502" s="19"/>
    </row>
  </sheetData>
  <sortState ref="A2:AP1718">
    <sortCondition ref="A2"/>
  </sortState>
  <pageMargins left="0.7" right="0.7" top="0.75" bottom="0.75" header="0.3" footer="0.3"/>
  <pageSetup paperSize="9" orientation="portrait" horizontalDpi="4294967293" verticalDpi="0" r:id="rId1"/>
  <ignoredErrors>
    <ignoredError sqref="N1719:P17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Sheffield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Askew</dc:creator>
  <cp:lastModifiedBy>Rachel</cp:lastModifiedBy>
  <dcterms:created xsi:type="dcterms:W3CDTF">2012-05-16T12:47:32Z</dcterms:created>
  <dcterms:modified xsi:type="dcterms:W3CDTF">2013-09-12T10:56:37Z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